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Kancelaria\Desktop\29 grudnia\"/>
    </mc:Choice>
  </mc:AlternateContent>
  <xr:revisionPtr revIDLastSave="0" documentId="13_ncr:1_{6B6310A9-D68C-40BA-8694-EAADDBD58E8F}" xr6:coauthVersionLast="47" xr6:coauthVersionMax="47" xr10:uidLastSave="{00000000-0000-0000-0000-000000000000}"/>
  <bookViews>
    <workbookView xWindow="-110" yWindow="-110" windowWidth="38620" windowHeight="21100" tabRatio="744" firstSheet="4" activeTab="5" xr2:uid="{00000000-000D-0000-FFFF-FFFF00000000}"/>
  </bookViews>
  <sheets>
    <sheet name="definicja" sheetId="8" state="hidden" r:id="rId1"/>
    <sheet name="DaneZrodlowe" sheetId="9" state="hidden" r:id="rId2"/>
    <sheet name="DaneZrodloweDoWsk" sheetId="15" state="hidden" r:id="rId3"/>
    <sheet name="ObliczSrednie" sheetId="33" state="hidden" r:id="rId4"/>
    <sheet name="Instrukcja" sheetId="30" r:id="rId5"/>
    <sheet name="WPF_bazowy" sheetId="12" r:id="rId6"/>
    <sheet name="wzorce" sheetId="34" state="hidden" r:id="rId7"/>
    <sheet name="Opis zmian" sheetId="32" state="hidden" r:id="rId8"/>
  </sheets>
  <definedNames>
    <definedName name="_xlnm._FilterDatabase" localSheetId="1" hidden="1">DaneZrodlowe!$A$6:$Q$7</definedName>
    <definedName name="_xlnm._FilterDatabase" localSheetId="2" hidden="1">DaneZrodloweDoWsk!$A$3:$W$4</definedName>
    <definedName name="_xlnm._FilterDatabase" localSheetId="5" hidden="1">WPF_bazowy!$A$2:$B$2</definedName>
    <definedName name="do_importu">#REF!</definedName>
    <definedName name="IdRozp">DaneZrodlowe!$N$3</definedName>
    <definedName name="_xlnm.Print_Area" localSheetId="4">Instrukcja!$B$1:$D$9</definedName>
    <definedName name="_xlnm.Print_Area" localSheetId="5">WPF_bazowy!$J$3:$AA$111</definedName>
    <definedName name="Ostatni_rok_analizy">#REF!</definedName>
    <definedName name="RokBazowy">DaneZrodlowe!$N$1</definedName>
    <definedName name="RokMaxProg">DaneZrodlowe!$N$2</definedName>
    <definedName name="Srednia">DaneZrodlowe!$N$4</definedName>
    <definedName name="_xlnm.Print_Titles" localSheetId="5">WPF_bazowy!$C:$E,WPF_bazowy!$1:$2</definedName>
    <definedName name="ver_raportu">WPF_bazowy!#REF!</definedName>
    <definedName name="Z_9360F695_77C0_4418_82C5_829A762C44E9_.wvu.Cols" localSheetId="5" hidden="1">WPF_bazowy!$A:$A,WPF_bazowy!$D:$D</definedName>
    <definedName name="Z_9360F695_77C0_4418_82C5_829A762C44E9_.wvu.FilterData" localSheetId="5" hidden="1">WPF_bazowy!$A$2:$A$111</definedName>
    <definedName name="Z_9360F695_77C0_4418_82C5_829A762C44E9_.wvu.PrintArea" localSheetId="5" hidden="1">WPF_bazowy!$C$1:$AA$111</definedName>
    <definedName name="Z_9360F695_77C0_4418_82C5_829A762C44E9_.wvu.PrintTitles" localSheetId="5" hidden="1">WPF_bazowy!$C:$E,WPF_bazowy!$1:$2</definedName>
  </definedNames>
  <calcPr calcId="181029"/>
  <customWorkbookViews>
    <customWorkbookView name="wydruk_symulacji_podstawowe_dane" guid="{9360F695-77C0-4418-82C5-829A762C44E9}" maximized="1" windowWidth="1596" windowHeight="685" tabRatio="688" activeSheetId="19"/>
  </customWorkbookViews>
  <fileRecoveryPr autoRecover="0"/>
</workbook>
</file>

<file path=xl/calcChain.xml><?xml version="1.0" encoding="utf-8"?>
<calcChain xmlns="http://schemas.openxmlformats.org/spreadsheetml/2006/main">
  <c r="AA111" i="12" l="1"/>
  <c r="Z111" i="12"/>
  <c r="Y111" i="12"/>
  <c r="X111" i="12"/>
  <c r="W111" i="12"/>
  <c r="V111" i="12"/>
  <c r="U111" i="12"/>
  <c r="T111" i="12"/>
  <c r="S111" i="12"/>
  <c r="R111" i="12"/>
  <c r="Q111" i="12"/>
  <c r="P111" i="12"/>
  <c r="O111" i="12"/>
  <c r="N111" i="12"/>
  <c r="AA110" i="12"/>
  <c r="Z110" i="12"/>
  <c r="Y110" i="12"/>
  <c r="X110" i="12"/>
  <c r="W110" i="12"/>
  <c r="V110" i="12"/>
  <c r="U110" i="12"/>
  <c r="T110" i="12"/>
  <c r="S110" i="12"/>
  <c r="R110" i="12"/>
  <c r="Q110" i="12"/>
  <c r="P110" i="12"/>
  <c r="O110" i="12"/>
  <c r="N110" i="12"/>
  <c r="AA109" i="12"/>
  <c r="Z109" i="12"/>
  <c r="Y109" i="12"/>
  <c r="X109" i="12"/>
  <c r="W109" i="12"/>
  <c r="V109" i="12"/>
  <c r="U109" i="12"/>
  <c r="T109" i="12"/>
  <c r="S109" i="12"/>
  <c r="R109" i="12"/>
  <c r="Q109" i="12"/>
  <c r="P109" i="12"/>
  <c r="O109" i="12"/>
  <c r="N109" i="12"/>
  <c r="M109" i="12"/>
  <c r="L109" i="12"/>
  <c r="K109" i="12"/>
  <c r="J109" i="12"/>
  <c r="I109" i="12"/>
  <c r="H109" i="12"/>
  <c r="G109" i="12"/>
  <c r="F109" i="12"/>
  <c r="AA107" i="12"/>
  <c r="Z107" i="12"/>
  <c r="Y107" i="12"/>
  <c r="X107" i="12"/>
  <c r="W107" i="12"/>
  <c r="V107" i="12"/>
  <c r="U107" i="12"/>
  <c r="T107" i="12"/>
  <c r="S107" i="12"/>
  <c r="R107" i="12"/>
  <c r="Q107" i="12"/>
  <c r="P107" i="12"/>
  <c r="O107" i="12"/>
  <c r="N107" i="12"/>
  <c r="M107" i="12"/>
  <c r="L107" i="12"/>
  <c r="K107" i="12"/>
  <c r="J107" i="12"/>
  <c r="I107" i="12"/>
  <c r="H107" i="12"/>
  <c r="G107" i="12"/>
  <c r="F107" i="12"/>
  <c r="AA106" i="12"/>
  <c r="Z106" i="12"/>
  <c r="Y106" i="12"/>
  <c r="X106" i="12"/>
  <c r="W106" i="12"/>
  <c r="V106" i="12"/>
  <c r="U106" i="12"/>
  <c r="T106" i="12"/>
  <c r="S106" i="12"/>
  <c r="R106" i="12"/>
  <c r="Q106" i="12"/>
  <c r="P106" i="12"/>
  <c r="O106" i="12"/>
  <c r="N106" i="12"/>
  <c r="M106" i="12"/>
  <c r="L106" i="12"/>
  <c r="K106" i="12"/>
  <c r="J106" i="12"/>
  <c r="I106" i="12"/>
  <c r="H106" i="12"/>
  <c r="G106" i="12"/>
  <c r="F106" i="12"/>
  <c r="AA105" i="12"/>
  <c r="Z105" i="12"/>
  <c r="Y105" i="12"/>
  <c r="X105" i="12"/>
  <c r="W105" i="12"/>
  <c r="V105" i="12"/>
  <c r="U105" i="12"/>
  <c r="T105" i="12"/>
  <c r="S105" i="12"/>
  <c r="R105" i="12"/>
  <c r="Q105" i="12"/>
  <c r="P105" i="12"/>
  <c r="O105" i="12"/>
  <c r="N105" i="12"/>
  <c r="M105" i="12"/>
  <c r="L105" i="12"/>
  <c r="K105" i="12"/>
  <c r="J105" i="12"/>
  <c r="I105" i="12"/>
  <c r="H105" i="12"/>
  <c r="G105" i="12"/>
  <c r="F105" i="12"/>
  <c r="AA103" i="12"/>
  <c r="Z103" i="12"/>
  <c r="Y103" i="12"/>
  <c r="X103" i="12"/>
  <c r="W103" i="12"/>
  <c r="V103" i="12"/>
  <c r="U103" i="12"/>
  <c r="T103" i="12"/>
  <c r="S103" i="12"/>
  <c r="R103" i="12"/>
  <c r="Q103" i="12"/>
  <c r="P103" i="12"/>
  <c r="O103" i="12"/>
  <c r="N103" i="12"/>
  <c r="M103" i="12"/>
  <c r="L103" i="12"/>
  <c r="K103" i="12"/>
  <c r="J103" i="12"/>
  <c r="I103" i="12"/>
  <c r="H103" i="12"/>
  <c r="G103" i="12"/>
  <c r="F103" i="12"/>
  <c r="AA102" i="12"/>
  <c r="Z102" i="12"/>
  <c r="Y102" i="12"/>
  <c r="X102" i="12"/>
  <c r="W102" i="12"/>
  <c r="V102" i="12"/>
  <c r="U102" i="12"/>
  <c r="T102" i="12"/>
  <c r="S102" i="12"/>
  <c r="R102" i="12"/>
  <c r="Q102" i="12"/>
  <c r="P102" i="12"/>
  <c r="O102" i="12"/>
  <c r="N102" i="12"/>
  <c r="M102" i="12"/>
  <c r="L102" i="12"/>
  <c r="K102" i="12"/>
  <c r="J102" i="12"/>
  <c r="I102" i="12"/>
  <c r="H102" i="12"/>
  <c r="G102" i="12"/>
  <c r="F102" i="12"/>
  <c r="AA101" i="12"/>
  <c r="Z101" i="12"/>
  <c r="Y101" i="12"/>
  <c r="X101" i="12"/>
  <c r="W101" i="12"/>
  <c r="V101" i="12"/>
  <c r="U101" i="12"/>
  <c r="T101" i="12"/>
  <c r="S101" i="12"/>
  <c r="R101" i="12"/>
  <c r="Q101" i="12"/>
  <c r="P101" i="12"/>
  <c r="O101" i="12"/>
  <c r="N101" i="12"/>
  <c r="M101" i="12"/>
  <c r="L101" i="12"/>
  <c r="K101" i="12"/>
  <c r="J101" i="12"/>
  <c r="I101" i="12"/>
  <c r="H101" i="12"/>
  <c r="G101" i="12"/>
  <c r="F101" i="12"/>
  <c r="AA100" i="12"/>
  <c r="Z100" i="12"/>
  <c r="Y100" i="12"/>
  <c r="X100" i="12"/>
  <c r="W100" i="12"/>
  <c r="V100" i="12"/>
  <c r="U100" i="12"/>
  <c r="T100" i="12"/>
  <c r="S100" i="12"/>
  <c r="R100" i="12"/>
  <c r="Q100" i="12"/>
  <c r="P100" i="12"/>
  <c r="O100" i="12"/>
  <c r="N100" i="12"/>
  <c r="M100" i="12"/>
  <c r="L100" i="12"/>
  <c r="K100" i="12"/>
  <c r="J100" i="12"/>
  <c r="I100" i="12"/>
  <c r="H100" i="12"/>
  <c r="G100" i="12"/>
  <c r="F100" i="12"/>
  <c r="AA99" i="12"/>
  <c r="Z99" i="12"/>
  <c r="Y99" i="12"/>
  <c r="X99" i="12"/>
  <c r="W99" i="12"/>
  <c r="V99" i="12"/>
  <c r="U99" i="12"/>
  <c r="T99" i="12"/>
  <c r="S99" i="12"/>
  <c r="R99" i="12"/>
  <c r="Q99" i="12"/>
  <c r="P99" i="12"/>
  <c r="O99" i="12"/>
  <c r="N99" i="12"/>
  <c r="M99" i="12"/>
  <c r="L99" i="12"/>
  <c r="K99" i="12"/>
  <c r="J99" i="12"/>
  <c r="I99" i="12"/>
  <c r="H99" i="12"/>
  <c r="G99" i="12"/>
  <c r="F99" i="12"/>
  <c r="AA98" i="12"/>
  <c r="Z98" i="12"/>
  <c r="Y98" i="12"/>
  <c r="X98" i="12"/>
  <c r="W98" i="12"/>
  <c r="V98" i="12"/>
  <c r="U98" i="12"/>
  <c r="T98" i="12"/>
  <c r="S98" i="12"/>
  <c r="R98" i="12"/>
  <c r="Q98" i="12"/>
  <c r="P98" i="12"/>
  <c r="O98" i="12"/>
  <c r="N98" i="12"/>
  <c r="M98" i="12"/>
  <c r="L98" i="12"/>
  <c r="K98" i="12"/>
  <c r="J98" i="12"/>
  <c r="I98" i="12"/>
  <c r="H98" i="12"/>
  <c r="G98" i="12"/>
  <c r="F98" i="12"/>
  <c r="AA97" i="12"/>
  <c r="Z97" i="12"/>
  <c r="Y97" i="12"/>
  <c r="X97" i="12"/>
  <c r="W97" i="12"/>
  <c r="V97" i="12"/>
  <c r="U97" i="12"/>
  <c r="T97" i="12"/>
  <c r="S97" i="12"/>
  <c r="R97" i="12"/>
  <c r="Q97" i="12"/>
  <c r="P97" i="12"/>
  <c r="O97" i="12"/>
  <c r="N97" i="12"/>
  <c r="M97" i="12"/>
  <c r="L97" i="12"/>
  <c r="K97" i="12"/>
  <c r="J97" i="12"/>
  <c r="I97" i="12"/>
  <c r="H97" i="12"/>
  <c r="G97" i="12"/>
  <c r="F97" i="12"/>
  <c r="AA96" i="12"/>
  <c r="Z96" i="12"/>
  <c r="Y96" i="12"/>
  <c r="X96" i="12"/>
  <c r="W96" i="12"/>
  <c r="V96" i="12"/>
  <c r="U96" i="12"/>
  <c r="T96" i="12"/>
  <c r="S96" i="12"/>
  <c r="R96" i="12"/>
  <c r="Q96" i="12"/>
  <c r="P96" i="12"/>
  <c r="O96" i="12"/>
  <c r="N96" i="12"/>
  <c r="M96" i="12"/>
  <c r="L96" i="12"/>
  <c r="K96" i="12"/>
  <c r="J96" i="12"/>
  <c r="I96" i="12"/>
  <c r="H96" i="12"/>
  <c r="G96" i="12"/>
  <c r="F96" i="12"/>
  <c r="AA95" i="12"/>
  <c r="Z95" i="12"/>
  <c r="Y95" i="12"/>
  <c r="X95" i="12"/>
  <c r="W95" i="12"/>
  <c r="V95" i="12"/>
  <c r="U95" i="12"/>
  <c r="T95" i="12"/>
  <c r="S95" i="12"/>
  <c r="R95" i="12"/>
  <c r="Q95" i="12"/>
  <c r="P95" i="12"/>
  <c r="O95" i="12"/>
  <c r="N95" i="12"/>
  <c r="M95" i="12"/>
  <c r="L95" i="12"/>
  <c r="K95" i="12"/>
  <c r="J95" i="12"/>
  <c r="I95" i="12"/>
  <c r="H95" i="12"/>
  <c r="G95" i="12"/>
  <c r="F95" i="12"/>
  <c r="AA94" i="12"/>
  <c r="Z94" i="12"/>
  <c r="Y94" i="12"/>
  <c r="X94" i="12"/>
  <c r="W94" i="12"/>
  <c r="V94" i="12"/>
  <c r="U94" i="12"/>
  <c r="T94" i="12"/>
  <c r="S94" i="12"/>
  <c r="R94" i="12"/>
  <c r="Q94" i="12"/>
  <c r="P94" i="12"/>
  <c r="O94" i="12"/>
  <c r="N94" i="12"/>
  <c r="M94" i="12"/>
  <c r="L94" i="12"/>
  <c r="K94" i="12"/>
  <c r="J94" i="12"/>
  <c r="I94" i="12"/>
  <c r="H94" i="12"/>
  <c r="G94" i="12"/>
  <c r="F94" i="12"/>
  <c r="AA93" i="12"/>
  <c r="Z93" i="12"/>
  <c r="Y93" i="12"/>
  <c r="X93" i="12"/>
  <c r="W93" i="12"/>
  <c r="V93" i="12"/>
  <c r="U93" i="12"/>
  <c r="T93" i="12"/>
  <c r="S93" i="12"/>
  <c r="R93" i="12"/>
  <c r="Q93" i="12"/>
  <c r="P93" i="12"/>
  <c r="O93" i="12"/>
  <c r="N93" i="12"/>
  <c r="M93" i="12"/>
  <c r="L93" i="12"/>
  <c r="K93" i="12"/>
  <c r="J93" i="12"/>
  <c r="I93" i="12"/>
  <c r="H93" i="12"/>
  <c r="G93" i="12"/>
  <c r="F93" i="12"/>
  <c r="AA92" i="12"/>
  <c r="Z92" i="12"/>
  <c r="Y92" i="12"/>
  <c r="X92" i="12"/>
  <c r="W92" i="12"/>
  <c r="V92" i="12"/>
  <c r="U92" i="12"/>
  <c r="T92" i="12"/>
  <c r="S92" i="12"/>
  <c r="R92" i="12"/>
  <c r="Q92" i="12"/>
  <c r="P92" i="12"/>
  <c r="O92" i="12"/>
  <c r="N92" i="12"/>
  <c r="M92" i="12"/>
  <c r="L92" i="12"/>
  <c r="K92" i="12"/>
  <c r="J92" i="12"/>
  <c r="I92" i="12"/>
  <c r="H92" i="12"/>
  <c r="G92" i="12"/>
  <c r="F92" i="12"/>
  <c r="AA91" i="12"/>
  <c r="Z91" i="12"/>
  <c r="Y91" i="12"/>
  <c r="X91" i="12"/>
  <c r="W91" i="12"/>
  <c r="V91" i="12"/>
  <c r="U91" i="12"/>
  <c r="T91" i="12"/>
  <c r="S91" i="12"/>
  <c r="R91" i="12"/>
  <c r="Q91" i="12"/>
  <c r="P91" i="12"/>
  <c r="O91" i="12"/>
  <c r="N91" i="12"/>
  <c r="M91" i="12"/>
  <c r="L91" i="12"/>
  <c r="K91" i="12"/>
  <c r="J91" i="12"/>
  <c r="I91" i="12"/>
  <c r="H91" i="12"/>
  <c r="G91" i="12"/>
  <c r="F91" i="12"/>
  <c r="AA90" i="12"/>
  <c r="Z90" i="12"/>
  <c r="Y90" i="12"/>
  <c r="X90" i="12"/>
  <c r="W90" i="12"/>
  <c r="V90" i="12"/>
  <c r="U90" i="12"/>
  <c r="T90" i="12"/>
  <c r="S90" i="12"/>
  <c r="R90" i="12"/>
  <c r="Q90" i="12"/>
  <c r="P90" i="12"/>
  <c r="O90" i="12"/>
  <c r="N90" i="12"/>
  <c r="M90" i="12"/>
  <c r="L90" i="12"/>
  <c r="K90" i="12"/>
  <c r="J90" i="12"/>
  <c r="I90" i="12"/>
  <c r="H90" i="12"/>
  <c r="G90" i="12"/>
  <c r="F90" i="12"/>
  <c r="AA89" i="12"/>
  <c r="Z89" i="12"/>
  <c r="Y89" i="12"/>
  <c r="X89" i="12"/>
  <c r="W89" i="12"/>
  <c r="V89" i="12"/>
  <c r="U89" i="12"/>
  <c r="T89" i="12"/>
  <c r="S89" i="12"/>
  <c r="R89" i="12"/>
  <c r="Q89" i="12"/>
  <c r="P89" i="12"/>
  <c r="O89" i="12"/>
  <c r="N89" i="12"/>
  <c r="M89" i="12"/>
  <c r="L89" i="12"/>
  <c r="K89" i="12"/>
  <c r="J89" i="12"/>
  <c r="I89" i="12"/>
  <c r="H89" i="12"/>
  <c r="G89" i="12"/>
  <c r="F89" i="12"/>
  <c r="AA88" i="12"/>
  <c r="Z88" i="12"/>
  <c r="Y88" i="12"/>
  <c r="X88" i="12"/>
  <c r="W88" i="12"/>
  <c r="V88" i="12"/>
  <c r="U88" i="12"/>
  <c r="T88" i="12"/>
  <c r="S88" i="12"/>
  <c r="R88" i="12"/>
  <c r="Q88" i="12"/>
  <c r="P88" i="12"/>
  <c r="O88" i="12"/>
  <c r="N88" i="12"/>
  <c r="M88" i="12"/>
  <c r="L88" i="12"/>
  <c r="K88" i="12"/>
  <c r="J88" i="12"/>
  <c r="I88" i="12"/>
  <c r="H88" i="12"/>
  <c r="G88" i="12"/>
  <c r="F88" i="12"/>
  <c r="AA87" i="12"/>
  <c r="Z87" i="12"/>
  <c r="Y87" i="12"/>
  <c r="X87" i="12"/>
  <c r="W87" i="12"/>
  <c r="V87" i="12"/>
  <c r="U87" i="12"/>
  <c r="T87" i="12"/>
  <c r="S87" i="12"/>
  <c r="R87" i="12"/>
  <c r="Q87" i="12"/>
  <c r="P87" i="12"/>
  <c r="O87" i="12"/>
  <c r="N87" i="12"/>
  <c r="M87" i="12"/>
  <c r="L87" i="12"/>
  <c r="K87" i="12"/>
  <c r="J87" i="12"/>
  <c r="I87" i="12"/>
  <c r="H87" i="12"/>
  <c r="G87" i="12"/>
  <c r="F87" i="12"/>
  <c r="AA86" i="12"/>
  <c r="Z86" i="12"/>
  <c r="Y86" i="12"/>
  <c r="X86" i="12"/>
  <c r="W86" i="12"/>
  <c r="V86" i="12"/>
  <c r="U86" i="12"/>
  <c r="T86" i="12"/>
  <c r="S86" i="12"/>
  <c r="R86" i="12"/>
  <c r="Q86" i="12"/>
  <c r="P86" i="12"/>
  <c r="O86" i="12"/>
  <c r="N86" i="12"/>
  <c r="M86" i="12"/>
  <c r="L86" i="12"/>
  <c r="K86" i="12"/>
  <c r="J86" i="12"/>
  <c r="I86" i="12"/>
  <c r="H86" i="12"/>
  <c r="G86" i="12"/>
  <c r="F86" i="12"/>
  <c r="AA84" i="12"/>
  <c r="Z84" i="12"/>
  <c r="Y84" i="12"/>
  <c r="X84" i="12"/>
  <c r="W84" i="12"/>
  <c r="V84" i="12"/>
  <c r="U84" i="12"/>
  <c r="T84" i="12"/>
  <c r="S84" i="12"/>
  <c r="R84" i="12"/>
  <c r="Q84" i="12"/>
  <c r="P84" i="12"/>
  <c r="O84" i="12"/>
  <c r="N84" i="12"/>
  <c r="M84" i="12"/>
  <c r="L84" i="12"/>
  <c r="K84" i="12"/>
  <c r="J84" i="12"/>
  <c r="I84" i="12"/>
  <c r="H84" i="12"/>
  <c r="G84" i="12"/>
  <c r="F84" i="12"/>
  <c r="AA83" i="12"/>
  <c r="Z83" i="12"/>
  <c r="Y83" i="12"/>
  <c r="X83" i="12"/>
  <c r="W83" i="12"/>
  <c r="V83" i="12"/>
  <c r="U83" i="12"/>
  <c r="T83" i="12"/>
  <c r="S83" i="12"/>
  <c r="R83" i="12"/>
  <c r="Q83" i="12"/>
  <c r="P83" i="12"/>
  <c r="O83" i="12"/>
  <c r="N83" i="12"/>
  <c r="M83" i="12"/>
  <c r="L83" i="12"/>
  <c r="K83" i="12"/>
  <c r="J83" i="12"/>
  <c r="I83" i="12"/>
  <c r="H83" i="12"/>
  <c r="G83" i="12"/>
  <c r="F83" i="12"/>
  <c r="AA82" i="12"/>
  <c r="Z82" i="12"/>
  <c r="Y82" i="12"/>
  <c r="X82" i="12"/>
  <c r="W82" i="12"/>
  <c r="V82" i="12"/>
  <c r="U82" i="12"/>
  <c r="T82" i="12"/>
  <c r="S82" i="12"/>
  <c r="R82" i="12"/>
  <c r="Q82" i="12"/>
  <c r="P82" i="12"/>
  <c r="O82" i="12"/>
  <c r="N82" i="12"/>
  <c r="M82" i="12"/>
  <c r="L82" i="12"/>
  <c r="K82" i="12"/>
  <c r="J82" i="12"/>
  <c r="I82" i="12"/>
  <c r="H82" i="12"/>
  <c r="G82" i="12"/>
  <c r="F82" i="12"/>
  <c r="AA81" i="12"/>
  <c r="Z81" i="12"/>
  <c r="Y81" i="12"/>
  <c r="X81" i="12"/>
  <c r="W81" i="12"/>
  <c r="V81" i="12"/>
  <c r="U81" i="12"/>
  <c r="T81" i="12"/>
  <c r="S81" i="12"/>
  <c r="R81" i="12"/>
  <c r="Q81" i="12"/>
  <c r="P81" i="12"/>
  <c r="O81" i="12"/>
  <c r="N81" i="12"/>
  <c r="M81" i="12"/>
  <c r="L81" i="12"/>
  <c r="K81" i="12"/>
  <c r="J81" i="12"/>
  <c r="I81" i="12"/>
  <c r="H81" i="12"/>
  <c r="G81" i="12"/>
  <c r="F81" i="12"/>
  <c r="AA80" i="12"/>
  <c r="Z80" i="12"/>
  <c r="Y80" i="12"/>
  <c r="X80" i="12"/>
  <c r="W80" i="12"/>
  <c r="V80" i="12"/>
  <c r="U80" i="12"/>
  <c r="T80" i="12"/>
  <c r="S80" i="12"/>
  <c r="R80" i="12"/>
  <c r="Q80" i="12"/>
  <c r="P80" i="12"/>
  <c r="O80" i="12"/>
  <c r="N80" i="12"/>
  <c r="M80" i="12"/>
  <c r="L80" i="12"/>
  <c r="K80" i="12"/>
  <c r="J80" i="12"/>
  <c r="I80" i="12"/>
  <c r="H80" i="12"/>
  <c r="G80" i="12"/>
  <c r="F80" i="12"/>
  <c r="AA79" i="12"/>
  <c r="Z79" i="12"/>
  <c r="Y79" i="12"/>
  <c r="X79" i="12"/>
  <c r="W79" i="12"/>
  <c r="V79" i="12"/>
  <c r="U79" i="12"/>
  <c r="T79" i="12"/>
  <c r="S79" i="12"/>
  <c r="R79" i="12"/>
  <c r="Q79" i="12"/>
  <c r="P79" i="12"/>
  <c r="O79" i="12"/>
  <c r="N79" i="12"/>
  <c r="M79" i="12"/>
  <c r="L79" i="12"/>
  <c r="K79" i="12"/>
  <c r="J79" i="12"/>
  <c r="I79" i="12"/>
  <c r="H79" i="12"/>
  <c r="G79" i="12"/>
  <c r="F79" i="12"/>
  <c r="AA78" i="12"/>
  <c r="Z78" i="12"/>
  <c r="Y78" i="12"/>
  <c r="X78" i="12"/>
  <c r="W78" i="12"/>
  <c r="V78" i="12"/>
  <c r="U78" i="12"/>
  <c r="T78" i="12"/>
  <c r="S78" i="12"/>
  <c r="R78" i="12"/>
  <c r="Q78" i="12"/>
  <c r="P78" i="12"/>
  <c r="O78" i="12"/>
  <c r="N78" i="12"/>
  <c r="M78" i="12"/>
  <c r="L78" i="12"/>
  <c r="K78" i="12"/>
  <c r="J78" i="12"/>
  <c r="I78" i="12"/>
  <c r="H78" i="12"/>
  <c r="G78" i="12"/>
  <c r="F78" i="12"/>
  <c r="AA77" i="12"/>
  <c r="Z77" i="12"/>
  <c r="Y77" i="12"/>
  <c r="X77" i="12"/>
  <c r="W77" i="12"/>
  <c r="V77" i="12"/>
  <c r="U77" i="12"/>
  <c r="T77" i="12"/>
  <c r="S77" i="12"/>
  <c r="R77" i="12"/>
  <c r="Q77" i="12"/>
  <c r="P77" i="12"/>
  <c r="O77" i="12"/>
  <c r="N77" i="12"/>
  <c r="M77" i="12"/>
  <c r="L77" i="12"/>
  <c r="K77" i="12"/>
  <c r="J77" i="12"/>
  <c r="I77" i="12"/>
  <c r="H77" i="12"/>
  <c r="G77" i="12"/>
  <c r="F77" i="12"/>
  <c r="AA76" i="12"/>
  <c r="Z76" i="12"/>
  <c r="Y76" i="12"/>
  <c r="X76" i="12"/>
  <c r="W76" i="12"/>
  <c r="V76" i="12"/>
  <c r="U76" i="12"/>
  <c r="T76" i="12"/>
  <c r="S76" i="12"/>
  <c r="R76" i="12"/>
  <c r="Q76" i="12"/>
  <c r="P76" i="12"/>
  <c r="O76" i="12"/>
  <c r="N76" i="12"/>
  <c r="M76" i="12"/>
  <c r="L76" i="12"/>
  <c r="K76" i="12"/>
  <c r="J76" i="12"/>
  <c r="I76" i="12"/>
  <c r="H76" i="12"/>
  <c r="G76" i="12"/>
  <c r="F76" i="12"/>
  <c r="AA75" i="12"/>
  <c r="Z75" i="12"/>
  <c r="Y75" i="12"/>
  <c r="X75" i="12"/>
  <c r="W75" i="12"/>
  <c r="V75" i="12"/>
  <c r="U75" i="12"/>
  <c r="T75" i="12"/>
  <c r="S75" i="12"/>
  <c r="R75" i="12"/>
  <c r="Q75" i="12"/>
  <c r="P75" i="12"/>
  <c r="O75" i="12"/>
  <c r="N75" i="12"/>
  <c r="M75" i="12"/>
  <c r="L75" i="12"/>
  <c r="K75" i="12"/>
  <c r="J75" i="12"/>
  <c r="I75" i="12"/>
  <c r="H75" i="12"/>
  <c r="G75" i="12"/>
  <c r="F75" i="12"/>
  <c r="AA74" i="12"/>
  <c r="Z74" i="12"/>
  <c r="Y74" i="12"/>
  <c r="X74" i="12"/>
  <c r="W74" i="12"/>
  <c r="V74" i="12"/>
  <c r="U74" i="12"/>
  <c r="T74" i="12"/>
  <c r="S74" i="12"/>
  <c r="R74" i="12"/>
  <c r="Q74" i="12"/>
  <c r="P74" i="12"/>
  <c r="O74" i="12"/>
  <c r="N74" i="12"/>
  <c r="M74" i="12"/>
  <c r="L74" i="12"/>
  <c r="K74" i="12"/>
  <c r="J74" i="12"/>
  <c r="I74" i="12"/>
  <c r="H74" i="12"/>
  <c r="G74" i="12"/>
  <c r="F74" i="12"/>
  <c r="AA73" i="12"/>
  <c r="Z73" i="12"/>
  <c r="Y73" i="12"/>
  <c r="X73" i="12"/>
  <c r="W73" i="12"/>
  <c r="V73" i="12"/>
  <c r="U73" i="12"/>
  <c r="T73" i="12"/>
  <c r="S73" i="12"/>
  <c r="R73" i="12"/>
  <c r="Q73" i="12"/>
  <c r="P73" i="12"/>
  <c r="O73" i="12"/>
  <c r="N73" i="12"/>
  <c r="M73" i="12"/>
  <c r="L73" i="12"/>
  <c r="K73" i="12"/>
  <c r="J73" i="12"/>
  <c r="I73" i="12"/>
  <c r="H73" i="12"/>
  <c r="G73" i="12"/>
  <c r="F73" i="12"/>
  <c r="AA71" i="12"/>
  <c r="Z71" i="12"/>
  <c r="Y71" i="12"/>
  <c r="X71" i="12"/>
  <c r="W71" i="12"/>
  <c r="V71" i="12"/>
  <c r="U71" i="12"/>
  <c r="T71" i="12"/>
  <c r="S71" i="12"/>
  <c r="R71" i="12"/>
  <c r="Q71" i="12"/>
  <c r="P71" i="12"/>
  <c r="O71" i="12"/>
  <c r="N71" i="12"/>
  <c r="AA68" i="12"/>
  <c r="Z68" i="12"/>
  <c r="Y68" i="12"/>
  <c r="X68" i="12"/>
  <c r="W68" i="12"/>
  <c r="V68" i="12"/>
  <c r="U68" i="12"/>
  <c r="T68" i="12"/>
  <c r="S68" i="12"/>
  <c r="S69" i="12" s="1"/>
  <c r="R68" i="12"/>
  <c r="Q68" i="12"/>
  <c r="P68" i="12"/>
  <c r="O68" i="12"/>
  <c r="N68" i="12"/>
  <c r="AA67" i="12"/>
  <c r="Z67" i="12"/>
  <c r="Y67" i="12"/>
  <c r="X67" i="12"/>
  <c r="W67" i="12"/>
  <c r="V67" i="12"/>
  <c r="U67" i="12"/>
  <c r="T67" i="12"/>
  <c r="S67" i="12"/>
  <c r="R67" i="12"/>
  <c r="Q67" i="12"/>
  <c r="P67" i="12"/>
  <c r="O67" i="12"/>
  <c r="N67" i="12"/>
  <c r="AA64" i="12"/>
  <c r="Z64" i="12"/>
  <c r="Y64" i="12"/>
  <c r="X64" i="12"/>
  <c r="W64" i="12"/>
  <c r="V64" i="12"/>
  <c r="U64" i="12"/>
  <c r="T64" i="12"/>
  <c r="S64" i="12"/>
  <c r="R64" i="12"/>
  <c r="Q64" i="12"/>
  <c r="P64" i="12"/>
  <c r="O64" i="12"/>
  <c r="N64" i="12"/>
  <c r="AA63" i="12"/>
  <c r="Z63" i="12"/>
  <c r="Y63" i="12"/>
  <c r="X63" i="12"/>
  <c r="W63" i="12"/>
  <c r="V63" i="12"/>
  <c r="U63" i="12"/>
  <c r="T63" i="12"/>
  <c r="S63" i="12"/>
  <c r="R63" i="12"/>
  <c r="Q63" i="12"/>
  <c r="P63" i="12"/>
  <c r="O63" i="12"/>
  <c r="N63" i="12"/>
  <c r="AA62" i="12"/>
  <c r="Z62" i="12"/>
  <c r="Y62" i="12"/>
  <c r="X62" i="12"/>
  <c r="W62" i="12"/>
  <c r="V62" i="12"/>
  <c r="U62" i="12"/>
  <c r="T62" i="12"/>
  <c r="S62" i="12"/>
  <c r="R62" i="12"/>
  <c r="Q62" i="12"/>
  <c r="P62" i="12"/>
  <c r="O62" i="12"/>
  <c r="N62" i="12"/>
  <c r="M62" i="12"/>
  <c r="L62" i="12"/>
  <c r="K62" i="12"/>
  <c r="J62" i="12"/>
  <c r="I62" i="12"/>
  <c r="H62" i="12"/>
  <c r="G62" i="12"/>
  <c r="F62" i="12"/>
  <c r="AA61" i="12"/>
  <c r="Z61" i="12"/>
  <c r="Y61" i="12"/>
  <c r="X61" i="12"/>
  <c r="W61" i="12"/>
  <c r="V61" i="12"/>
  <c r="U61" i="12"/>
  <c r="T61" i="12"/>
  <c r="S61" i="12"/>
  <c r="R61" i="12"/>
  <c r="Q61" i="12"/>
  <c r="P61" i="12"/>
  <c r="O61" i="12"/>
  <c r="N61" i="12"/>
  <c r="M61" i="12"/>
  <c r="L61" i="12"/>
  <c r="K61" i="12"/>
  <c r="J61" i="12"/>
  <c r="I61" i="12"/>
  <c r="H61" i="12"/>
  <c r="G61" i="12"/>
  <c r="F61" i="12"/>
  <c r="AA60" i="12"/>
  <c r="Z60" i="12"/>
  <c r="Y60" i="12"/>
  <c r="X60" i="12"/>
  <c r="W60" i="12"/>
  <c r="V60" i="12"/>
  <c r="U60" i="12"/>
  <c r="T60" i="12"/>
  <c r="S60" i="12"/>
  <c r="R60" i="12"/>
  <c r="Q60" i="12"/>
  <c r="P60" i="12"/>
  <c r="O60" i="12"/>
  <c r="N60" i="12"/>
  <c r="M60" i="12"/>
  <c r="L60" i="12"/>
  <c r="K60" i="12"/>
  <c r="J60" i="12"/>
  <c r="I60" i="12"/>
  <c r="H60" i="12"/>
  <c r="G60" i="12"/>
  <c r="F60" i="12"/>
  <c r="AA59" i="12"/>
  <c r="Z59" i="12"/>
  <c r="Y59" i="12"/>
  <c r="X59" i="12"/>
  <c r="W59" i="12"/>
  <c r="V59" i="12"/>
  <c r="U59" i="12"/>
  <c r="T59" i="12"/>
  <c r="S59" i="12"/>
  <c r="R59" i="12"/>
  <c r="Q59" i="12"/>
  <c r="P59" i="12"/>
  <c r="O59" i="12"/>
  <c r="N59" i="12"/>
  <c r="AA58" i="12"/>
  <c r="Z58" i="12"/>
  <c r="Y58" i="12"/>
  <c r="X58" i="12"/>
  <c r="W58" i="12"/>
  <c r="V58" i="12"/>
  <c r="U58" i="12"/>
  <c r="T58" i="12"/>
  <c r="S58" i="12"/>
  <c r="R58" i="12"/>
  <c r="Q58" i="12"/>
  <c r="P58" i="12"/>
  <c r="O58" i="12"/>
  <c r="N58" i="12"/>
  <c r="AA57" i="12"/>
  <c r="Z57" i="12"/>
  <c r="Y57" i="12"/>
  <c r="X57" i="12"/>
  <c r="W57" i="12"/>
  <c r="V57" i="12"/>
  <c r="U57" i="12"/>
  <c r="T57" i="12"/>
  <c r="S57" i="12"/>
  <c r="R57" i="12"/>
  <c r="Q57" i="12"/>
  <c r="P57" i="12"/>
  <c r="O57" i="12"/>
  <c r="N57" i="12"/>
  <c r="AA56" i="12"/>
  <c r="Z56" i="12"/>
  <c r="Y56" i="12"/>
  <c r="X56" i="12"/>
  <c r="W56" i="12"/>
  <c r="V56" i="12"/>
  <c r="U56" i="12"/>
  <c r="T56" i="12"/>
  <c r="S56" i="12"/>
  <c r="R56" i="12"/>
  <c r="Q56" i="12"/>
  <c r="P56" i="12"/>
  <c r="O56" i="12"/>
  <c r="N56" i="12"/>
  <c r="AA54" i="12"/>
  <c r="Z54" i="12"/>
  <c r="Y54" i="12"/>
  <c r="X54" i="12"/>
  <c r="W54" i="12"/>
  <c r="V54" i="12"/>
  <c r="U54" i="12"/>
  <c r="T54" i="12"/>
  <c r="S54" i="12"/>
  <c r="R54" i="12"/>
  <c r="Q54" i="12"/>
  <c r="P54" i="12"/>
  <c r="O54" i="12"/>
  <c r="N54" i="12"/>
  <c r="M54" i="12"/>
  <c r="L54" i="12"/>
  <c r="K54" i="12"/>
  <c r="J54" i="12"/>
  <c r="I54" i="12"/>
  <c r="H54" i="12"/>
  <c r="G54" i="12"/>
  <c r="F54" i="12"/>
  <c r="AA53" i="12"/>
  <c r="Z53" i="12"/>
  <c r="Y53" i="12"/>
  <c r="X53" i="12"/>
  <c r="W53" i="12"/>
  <c r="V53" i="12"/>
  <c r="U53" i="12"/>
  <c r="T53" i="12"/>
  <c r="S53" i="12"/>
  <c r="R53" i="12"/>
  <c r="Q53" i="12"/>
  <c r="P53" i="12"/>
  <c r="O53" i="12"/>
  <c r="N53" i="12"/>
  <c r="M53" i="12"/>
  <c r="L53" i="12"/>
  <c r="K53" i="12"/>
  <c r="J53" i="12"/>
  <c r="I53" i="12"/>
  <c r="H53" i="12"/>
  <c r="G53" i="12"/>
  <c r="F53" i="12"/>
  <c r="AA51" i="12"/>
  <c r="Z51" i="12"/>
  <c r="Y51" i="12"/>
  <c r="X51" i="12"/>
  <c r="W51" i="12"/>
  <c r="V51" i="12"/>
  <c r="U51" i="12"/>
  <c r="T51" i="12"/>
  <c r="S51" i="12"/>
  <c r="R51" i="12"/>
  <c r="Q51" i="12"/>
  <c r="P51" i="12"/>
  <c r="O51" i="12"/>
  <c r="N51" i="12"/>
  <c r="M51" i="12"/>
  <c r="L51" i="12"/>
  <c r="K51" i="12"/>
  <c r="J51" i="12"/>
  <c r="I51" i="12"/>
  <c r="H51" i="12"/>
  <c r="G51" i="12"/>
  <c r="F51" i="12"/>
  <c r="AA50" i="12"/>
  <c r="Z50" i="12"/>
  <c r="Y50" i="12"/>
  <c r="X50" i="12"/>
  <c r="W50" i="12"/>
  <c r="V50" i="12"/>
  <c r="U50" i="12"/>
  <c r="T50" i="12"/>
  <c r="S50" i="12"/>
  <c r="R50" i="12"/>
  <c r="Q50" i="12"/>
  <c r="P50" i="12"/>
  <c r="O50" i="12"/>
  <c r="N50" i="12"/>
  <c r="M50" i="12"/>
  <c r="L50" i="12"/>
  <c r="K50" i="12"/>
  <c r="J50" i="12"/>
  <c r="I50" i="12"/>
  <c r="H50" i="12"/>
  <c r="G50" i="12"/>
  <c r="F50" i="12"/>
  <c r="AA49" i="12"/>
  <c r="Z49" i="12"/>
  <c r="Y49" i="12"/>
  <c r="X49" i="12"/>
  <c r="W49" i="12"/>
  <c r="V49" i="12"/>
  <c r="U49" i="12"/>
  <c r="T49" i="12"/>
  <c r="S49" i="12"/>
  <c r="R49" i="12"/>
  <c r="Q49" i="12"/>
  <c r="P49" i="12"/>
  <c r="O49" i="12"/>
  <c r="N49" i="12"/>
  <c r="M49" i="12"/>
  <c r="L49" i="12"/>
  <c r="K49" i="12"/>
  <c r="J49" i="12"/>
  <c r="I49" i="12"/>
  <c r="H49" i="12"/>
  <c r="G49" i="12"/>
  <c r="F49" i="12"/>
  <c r="AA48" i="12"/>
  <c r="Z48" i="12"/>
  <c r="Y48" i="12"/>
  <c r="X48" i="12"/>
  <c r="W48" i="12"/>
  <c r="V48" i="12"/>
  <c r="U48" i="12"/>
  <c r="T48" i="12"/>
  <c r="S48" i="12"/>
  <c r="R48" i="12"/>
  <c r="Q48" i="12"/>
  <c r="P48" i="12"/>
  <c r="O48" i="12"/>
  <c r="N48" i="12"/>
  <c r="M48" i="12"/>
  <c r="L48" i="12"/>
  <c r="K48" i="12"/>
  <c r="J48" i="12"/>
  <c r="I48" i="12"/>
  <c r="H48" i="12"/>
  <c r="G48" i="12"/>
  <c r="F48" i="12"/>
  <c r="AA47" i="12"/>
  <c r="Z47" i="12"/>
  <c r="Y47" i="12"/>
  <c r="X47" i="12"/>
  <c r="W47" i="12"/>
  <c r="V47" i="12"/>
  <c r="U47" i="12"/>
  <c r="T47" i="12"/>
  <c r="S47" i="12"/>
  <c r="R47" i="12"/>
  <c r="Q47" i="12"/>
  <c r="P47" i="12"/>
  <c r="O47" i="12"/>
  <c r="N47" i="12"/>
  <c r="M47" i="12"/>
  <c r="L47" i="12"/>
  <c r="K47" i="12"/>
  <c r="J47" i="12"/>
  <c r="I47" i="12"/>
  <c r="H47" i="12"/>
  <c r="G47" i="12"/>
  <c r="F47" i="12"/>
  <c r="AA46" i="12"/>
  <c r="Z46" i="12"/>
  <c r="Y46" i="12"/>
  <c r="X46" i="12"/>
  <c r="W46" i="12"/>
  <c r="V46" i="12"/>
  <c r="U46" i="12"/>
  <c r="T46" i="12"/>
  <c r="S46" i="12"/>
  <c r="R46" i="12"/>
  <c r="Q46" i="12"/>
  <c r="P46" i="12"/>
  <c r="O46" i="12"/>
  <c r="N46" i="12"/>
  <c r="M46" i="12"/>
  <c r="L46" i="12"/>
  <c r="K46" i="12"/>
  <c r="J46" i="12"/>
  <c r="I46" i="12"/>
  <c r="H46" i="12"/>
  <c r="G46" i="12"/>
  <c r="F46" i="12"/>
  <c r="AA45" i="12"/>
  <c r="Z45" i="12"/>
  <c r="Y45" i="12"/>
  <c r="X45" i="12"/>
  <c r="W45" i="12"/>
  <c r="V45" i="12"/>
  <c r="U45" i="12"/>
  <c r="T45" i="12"/>
  <c r="S45" i="12"/>
  <c r="R45" i="12"/>
  <c r="Q45" i="12"/>
  <c r="P45" i="12"/>
  <c r="O45" i="12"/>
  <c r="N45" i="12"/>
  <c r="M45" i="12"/>
  <c r="L45" i="12"/>
  <c r="K45" i="12"/>
  <c r="J45" i="12"/>
  <c r="I45" i="12"/>
  <c r="H45" i="12"/>
  <c r="G45" i="12"/>
  <c r="F45" i="12"/>
  <c r="AA44" i="12"/>
  <c r="Z44" i="12"/>
  <c r="Y44" i="12"/>
  <c r="X44" i="12"/>
  <c r="W44" i="12"/>
  <c r="V44" i="12"/>
  <c r="U44" i="12"/>
  <c r="T44" i="12"/>
  <c r="S44" i="12"/>
  <c r="R44" i="12"/>
  <c r="Q44" i="12"/>
  <c r="P44" i="12"/>
  <c r="O44" i="12"/>
  <c r="N44" i="12"/>
  <c r="M44" i="12"/>
  <c r="L44" i="12"/>
  <c r="K44" i="12"/>
  <c r="J44" i="12"/>
  <c r="I44" i="12"/>
  <c r="H44" i="12"/>
  <c r="G44" i="12"/>
  <c r="F44" i="12"/>
  <c r="AA43" i="12"/>
  <c r="Z43" i="12"/>
  <c r="Y43" i="12"/>
  <c r="X43" i="12"/>
  <c r="W43" i="12"/>
  <c r="V43" i="12"/>
  <c r="U43" i="12"/>
  <c r="T43" i="12"/>
  <c r="S43" i="12"/>
  <c r="R43" i="12"/>
  <c r="Q43" i="12"/>
  <c r="P43" i="12"/>
  <c r="O43" i="12"/>
  <c r="N43" i="12"/>
  <c r="M43" i="12"/>
  <c r="L43" i="12"/>
  <c r="K43" i="12"/>
  <c r="J43" i="12"/>
  <c r="I43" i="12"/>
  <c r="H43" i="12"/>
  <c r="G43" i="12"/>
  <c r="F43" i="12"/>
  <c r="AA42" i="12"/>
  <c r="Z42" i="12"/>
  <c r="Y42" i="12"/>
  <c r="X42" i="12"/>
  <c r="W42" i="12"/>
  <c r="V42" i="12"/>
  <c r="U42" i="12"/>
  <c r="T42" i="12"/>
  <c r="S42" i="12"/>
  <c r="R42" i="12"/>
  <c r="Q42" i="12"/>
  <c r="P42" i="12"/>
  <c r="O42" i="12"/>
  <c r="N42" i="12"/>
  <c r="M42" i="12"/>
  <c r="L42" i="12"/>
  <c r="K42" i="12"/>
  <c r="J42" i="12"/>
  <c r="I42" i="12"/>
  <c r="H42" i="12"/>
  <c r="G42" i="12"/>
  <c r="F42" i="12"/>
  <c r="AA41" i="12"/>
  <c r="Z41" i="12"/>
  <c r="Y41" i="12"/>
  <c r="X41" i="12"/>
  <c r="W41" i="12"/>
  <c r="V41" i="12"/>
  <c r="U41" i="12"/>
  <c r="T41" i="12"/>
  <c r="S41" i="12"/>
  <c r="R41" i="12"/>
  <c r="Q41" i="12"/>
  <c r="P41" i="12"/>
  <c r="O41" i="12"/>
  <c r="N41" i="12"/>
  <c r="M41" i="12"/>
  <c r="L41" i="12"/>
  <c r="K41" i="12"/>
  <c r="J41" i="12"/>
  <c r="I41" i="12"/>
  <c r="H41" i="12"/>
  <c r="G41" i="12"/>
  <c r="F41" i="12"/>
  <c r="AA40" i="12"/>
  <c r="Z40" i="12"/>
  <c r="Y40" i="12"/>
  <c r="X40" i="12"/>
  <c r="W40" i="12"/>
  <c r="V40" i="12"/>
  <c r="U40" i="12"/>
  <c r="T40" i="12"/>
  <c r="S40" i="12"/>
  <c r="R40" i="12"/>
  <c r="Q40" i="12"/>
  <c r="P40" i="12"/>
  <c r="O40" i="12"/>
  <c r="N40" i="12"/>
  <c r="M40" i="12"/>
  <c r="L40" i="12"/>
  <c r="K40" i="12"/>
  <c r="J40" i="12"/>
  <c r="I40" i="12"/>
  <c r="H40" i="12"/>
  <c r="G40" i="12"/>
  <c r="F40" i="12"/>
  <c r="AA39" i="12"/>
  <c r="Z39" i="12"/>
  <c r="Y39" i="12"/>
  <c r="X39" i="12"/>
  <c r="W39" i="12"/>
  <c r="V39" i="12"/>
  <c r="U39" i="12"/>
  <c r="T39" i="12"/>
  <c r="S39" i="12"/>
  <c r="R39" i="12"/>
  <c r="Q39" i="12"/>
  <c r="P39" i="12"/>
  <c r="O39" i="12"/>
  <c r="N39" i="12"/>
  <c r="M39" i="12"/>
  <c r="L39" i="12"/>
  <c r="K39" i="12"/>
  <c r="J39" i="12"/>
  <c r="I39" i="12"/>
  <c r="H39" i="12"/>
  <c r="G39" i="12"/>
  <c r="F39" i="12"/>
  <c r="AA38" i="12"/>
  <c r="Z38" i="12"/>
  <c r="Y38" i="12"/>
  <c r="X38" i="12"/>
  <c r="W38" i="12"/>
  <c r="V38" i="12"/>
  <c r="U38" i="12"/>
  <c r="T38" i="12"/>
  <c r="S38" i="12"/>
  <c r="R38" i="12"/>
  <c r="Q38" i="12"/>
  <c r="P38" i="12"/>
  <c r="O38" i="12"/>
  <c r="N38" i="12"/>
  <c r="M38" i="12"/>
  <c r="L38" i="12"/>
  <c r="K38" i="12"/>
  <c r="J38" i="12"/>
  <c r="I38" i="12"/>
  <c r="H38" i="12"/>
  <c r="G38" i="12"/>
  <c r="F38" i="12"/>
  <c r="AA37" i="12"/>
  <c r="Z37" i="12"/>
  <c r="Y37" i="12"/>
  <c r="X37" i="12"/>
  <c r="W37" i="12"/>
  <c r="V37" i="12"/>
  <c r="U37" i="12"/>
  <c r="T37" i="12"/>
  <c r="S37" i="12"/>
  <c r="R37" i="12"/>
  <c r="Q37" i="12"/>
  <c r="P37" i="12"/>
  <c r="O37" i="12"/>
  <c r="N37" i="12"/>
  <c r="M37" i="12"/>
  <c r="L37" i="12"/>
  <c r="K37" i="12"/>
  <c r="J37" i="12"/>
  <c r="I37" i="12"/>
  <c r="H37" i="12"/>
  <c r="G37" i="12"/>
  <c r="F37" i="12"/>
  <c r="AA36" i="12"/>
  <c r="Z36" i="12"/>
  <c r="Y36" i="12"/>
  <c r="X36" i="12"/>
  <c r="W36" i="12"/>
  <c r="V36" i="12"/>
  <c r="U36" i="12"/>
  <c r="T36" i="12"/>
  <c r="S36" i="12"/>
  <c r="R36" i="12"/>
  <c r="Q36" i="12"/>
  <c r="P36" i="12"/>
  <c r="O36" i="12"/>
  <c r="N36" i="12"/>
  <c r="M36" i="12"/>
  <c r="L36" i="12"/>
  <c r="K36" i="12"/>
  <c r="J36" i="12"/>
  <c r="I36" i="12"/>
  <c r="H36" i="12"/>
  <c r="G36" i="12"/>
  <c r="F36" i="12"/>
  <c r="AA35" i="12"/>
  <c r="Z35" i="12"/>
  <c r="Y35" i="12"/>
  <c r="X35" i="12"/>
  <c r="W35" i="12"/>
  <c r="V35" i="12"/>
  <c r="U35" i="12"/>
  <c r="T35" i="12"/>
  <c r="S35" i="12"/>
  <c r="R35" i="12"/>
  <c r="Q35" i="12"/>
  <c r="P35" i="12"/>
  <c r="O35" i="12"/>
  <c r="N35" i="12"/>
  <c r="M35" i="12"/>
  <c r="L35" i="12"/>
  <c r="K35" i="12"/>
  <c r="J35" i="12"/>
  <c r="I35" i="12"/>
  <c r="H35" i="12"/>
  <c r="G35" i="12"/>
  <c r="F35" i="12"/>
  <c r="AA34" i="12"/>
  <c r="Z34" i="12"/>
  <c r="Y34" i="12"/>
  <c r="X34" i="12"/>
  <c r="W34" i="12"/>
  <c r="V34" i="12"/>
  <c r="U34" i="12"/>
  <c r="T34" i="12"/>
  <c r="S34" i="12"/>
  <c r="R34" i="12"/>
  <c r="Q34" i="12"/>
  <c r="P34" i="12"/>
  <c r="O34" i="12"/>
  <c r="N34" i="12"/>
  <c r="M34" i="12"/>
  <c r="L34" i="12"/>
  <c r="K34" i="12"/>
  <c r="J34" i="12"/>
  <c r="I34" i="12"/>
  <c r="H34" i="12"/>
  <c r="G34" i="12"/>
  <c r="F34" i="12"/>
  <c r="AA33" i="12"/>
  <c r="Z33" i="12"/>
  <c r="Y33" i="12"/>
  <c r="X33" i="12"/>
  <c r="W33" i="12"/>
  <c r="V33" i="12"/>
  <c r="U33" i="12"/>
  <c r="T33" i="12"/>
  <c r="S33" i="12"/>
  <c r="R33" i="12"/>
  <c r="Q33" i="12"/>
  <c r="P33" i="12"/>
  <c r="O33" i="12"/>
  <c r="N33" i="12"/>
  <c r="M33" i="12"/>
  <c r="L33" i="12"/>
  <c r="K33" i="12"/>
  <c r="J33" i="12"/>
  <c r="I33" i="12"/>
  <c r="H33" i="12"/>
  <c r="G33" i="12"/>
  <c r="F33" i="12"/>
  <c r="AA32" i="12"/>
  <c r="Z32" i="12"/>
  <c r="Y32" i="12"/>
  <c r="X32" i="12"/>
  <c r="W32" i="12"/>
  <c r="V32" i="12"/>
  <c r="U32" i="12"/>
  <c r="T32" i="12"/>
  <c r="S32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F32" i="12"/>
  <c r="AA31" i="12"/>
  <c r="Z31" i="12"/>
  <c r="Y31" i="12"/>
  <c r="X31" i="12"/>
  <c r="W31" i="12"/>
  <c r="V31" i="12"/>
  <c r="U31" i="12"/>
  <c r="T31" i="12"/>
  <c r="S31" i="12"/>
  <c r="R31" i="12"/>
  <c r="Q31" i="12"/>
  <c r="P31" i="12"/>
  <c r="O31" i="12"/>
  <c r="N31" i="12"/>
  <c r="M31" i="12"/>
  <c r="L31" i="12"/>
  <c r="K31" i="12"/>
  <c r="J31" i="12"/>
  <c r="I31" i="12"/>
  <c r="H31" i="12"/>
  <c r="G31" i="12"/>
  <c r="F31" i="12"/>
  <c r="AA30" i="12"/>
  <c r="Z30" i="12"/>
  <c r="Y30" i="12"/>
  <c r="X30" i="12"/>
  <c r="W30" i="12"/>
  <c r="V30" i="12"/>
  <c r="U30" i="12"/>
  <c r="T30" i="12"/>
  <c r="S30" i="12"/>
  <c r="R30" i="12"/>
  <c r="Q30" i="12"/>
  <c r="P30" i="12"/>
  <c r="O30" i="12"/>
  <c r="N30" i="12"/>
  <c r="M30" i="12"/>
  <c r="L30" i="12"/>
  <c r="K30" i="12"/>
  <c r="J30" i="12"/>
  <c r="I30" i="12"/>
  <c r="H30" i="12"/>
  <c r="G30" i="12"/>
  <c r="F30" i="12"/>
  <c r="AA29" i="12"/>
  <c r="Z29" i="12"/>
  <c r="Y29" i="12"/>
  <c r="X29" i="12"/>
  <c r="W29" i="12"/>
  <c r="V29" i="12"/>
  <c r="U29" i="12"/>
  <c r="T29" i="12"/>
  <c r="S29" i="12"/>
  <c r="R29" i="12"/>
  <c r="Q29" i="12"/>
  <c r="P29" i="12"/>
  <c r="O29" i="12"/>
  <c r="N29" i="12"/>
  <c r="M29" i="12"/>
  <c r="L29" i="12"/>
  <c r="K29" i="12"/>
  <c r="J29" i="12"/>
  <c r="I29" i="12"/>
  <c r="H29" i="12"/>
  <c r="G29" i="12"/>
  <c r="F29" i="12"/>
  <c r="AA28" i="12"/>
  <c r="Z28" i="12"/>
  <c r="Y28" i="12"/>
  <c r="X28" i="12"/>
  <c r="W28" i="12"/>
  <c r="V28" i="12"/>
  <c r="U28" i="12"/>
  <c r="T28" i="12"/>
  <c r="S28" i="12"/>
  <c r="R28" i="12"/>
  <c r="Q28" i="12"/>
  <c r="P28" i="12"/>
  <c r="O28" i="12"/>
  <c r="N28" i="12"/>
  <c r="M28" i="12"/>
  <c r="L28" i="12"/>
  <c r="K28" i="12"/>
  <c r="J28" i="12"/>
  <c r="I28" i="12"/>
  <c r="H28" i="12"/>
  <c r="G28" i="12"/>
  <c r="F28" i="12"/>
  <c r="AA27" i="12"/>
  <c r="Z27" i="12"/>
  <c r="Y27" i="12"/>
  <c r="X27" i="12"/>
  <c r="W27" i="12"/>
  <c r="V27" i="12"/>
  <c r="U27" i="12"/>
  <c r="T27" i="12"/>
  <c r="S27" i="12"/>
  <c r="R27" i="12"/>
  <c r="Q27" i="12"/>
  <c r="P27" i="12"/>
  <c r="O27" i="12"/>
  <c r="N27" i="12"/>
  <c r="M27" i="12"/>
  <c r="L27" i="12"/>
  <c r="K27" i="12"/>
  <c r="J27" i="12"/>
  <c r="I27" i="12"/>
  <c r="H27" i="12"/>
  <c r="G27" i="12"/>
  <c r="F27" i="12"/>
  <c r="AA26" i="12"/>
  <c r="Z26" i="12"/>
  <c r="Y26" i="12"/>
  <c r="X26" i="12"/>
  <c r="W26" i="12"/>
  <c r="V26" i="12"/>
  <c r="U26" i="12"/>
  <c r="T26" i="12"/>
  <c r="S26" i="12"/>
  <c r="R26" i="12"/>
  <c r="Q26" i="12"/>
  <c r="P26" i="12"/>
  <c r="O26" i="12"/>
  <c r="N26" i="12"/>
  <c r="M26" i="12"/>
  <c r="L26" i="12"/>
  <c r="K26" i="12"/>
  <c r="J26" i="12"/>
  <c r="I26" i="12"/>
  <c r="H26" i="12"/>
  <c r="G26" i="12"/>
  <c r="F26" i="12"/>
  <c r="AA25" i="12"/>
  <c r="Z25" i="12"/>
  <c r="Y25" i="12"/>
  <c r="X25" i="12"/>
  <c r="W25" i="12"/>
  <c r="V25" i="12"/>
  <c r="U25" i="12"/>
  <c r="T25" i="12"/>
  <c r="S25" i="12"/>
  <c r="R25" i="12"/>
  <c r="Q25" i="12"/>
  <c r="P25" i="12"/>
  <c r="O25" i="12"/>
  <c r="N25" i="12"/>
  <c r="M25" i="12"/>
  <c r="L25" i="12"/>
  <c r="K25" i="12"/>
  <c r="J25" i="12"/>
  <c r="I25" i="12"/>
  <c r="H25" i="12"/>
  <c r="G25" i="12"/>
  <c r="F25" i="12"/>
  <c r="AA24" i="12"/>
  <c r="Z24" i="12"/>
  <c r="Y24" i="12"/>
  <c r="X24" i="12"/>
  <c r="W24" i="12"/>
  <c r="V24" i="12"/>
  <c r="U24" i="12"/>
  <c r="T24" i="12"/>
  <c r="S24" i="12"/>
  <c r="R24" i="12"/>
  <c r="Q24" i="12"/>
  <c r="P24" i="12"/>
  <c r="O24" i="12"/>
  <c r="N24" i="12"/>
  <c r="M24" i="12"/>
  <c r="L24" i="12"/>
  <c r="K24" i="12"/>
  <c r="J24" i="12"/>
  <c r="I24" i="12"/>
  <c r="H24" i="12"/>
  <c r="G24" i="12"/>
  <c r="F24" i="12"/>
  <c r="AA23" i="12"/>
  <c r="Z23" i="12"/>
  <c r="Y23" i="12"/>
  <c r="X23" i="12"/>
  <c r="W23" i="12"/>
  <c r="V23" i="12"/>
  <c r="U23" i="12"/>
  <c r="T23" i="12"/>
  <c r="S23" i="12"/>
  <c r="R23" i="12"/>
  <c r="Q23" i="12"/>
  <c r="P23" i="12"/>
  <c r="O23" i="12"/>
  <c r="N23" i="12"/>
  <c r="M23" i="12"/>
  <c r="L23" i="12"/>
  <c r="K23" i="12"/>
  <c r="J23" i="12"/>
  <c r="I23" i="12"/>
  <c r="H23" i="12"/>
  <c r="G23" i="12"/>
  <c r="F23" i="12"/>
  <c r="AA22" i="12"/>
  <c r="Z22" i="12"/>
  <c r="Y22" i="12"/>
  <c r="X22" i="12"/>
  <c r="W22" i="12"/>
  <c r="V22" i="12"/>
  <c r="U22" i="12"/>
  <c r="T22" i="12"/>
  <c r="S22" i="12"/>
  <c r="R22" i="12"/>
  <c r="Q22" i="12"/>
  <c r="P22" i="12"/>
  <c r="O22" i="12"/>
  <c r="N22" i="12"/>
  <c r="M22" i="12"/>
  <c r="L22" i="12"/>
  <c r="K22" i="12"/>
  <c r="J22" i="12"/>
  <c r="I22" i="12"/>
  <c r="H22" i="12"/>
  <c r="G22" i="12"/>
  <c r="F22" i="12"/>
  <c r="AA21" i="12"/>
  <c r="Z21" i="12"/>
  <c r="Y21" i="12"/>
  <c r="X21" i="12"/>
  <c r="W21" i="12"/>
  <c r="V21" i="12"/>
  <c r="U21" i="12"/>
  <c r="T21" i="12"/>
  <c r="S21" i="12"/>
  <c r="R21" i="12"/>
  <c r="Q21" i="12"/>
  <c r="P21" i="12"/>
  <c r="O21" i="12"/>
  <c r="N21" i="12"/>
  <c r="M21" i="12"/>
  <c r="L21" i="12"/>
  <c r="K21" i="12"/>
  <c r="J21" i="12"/>
  <c r="I21" i="12"/>
  <c r="H21" i="12"/>
  <c r="G21" i="12"/>
  <c r="F21" i="12"/>
  <c r="AA20" i="12"/>
  <c r="Z20" i="12"/>
  <c r="Y20" i="12"/>
  <c r="X20" i="12"/>
  <c r="W20" i="12"/>
  <c r="V20" i="12"/>
  <c r="U20" i="12"/>
  <c r="T20" i="12"/>
  <c r="S20" i="12"/>
  <c r="R20" i="12"/>
  <c r="Q20" i="12"/>
  <c r="P20" i="12"/>
  <c r="O20" i="12"/>
  <c r="N20" i="12"/>
  <c r="M20" i="12"/>
  <c r="L20" i="12"/>
  <c r="K20" i="12"/>
  <c r="J20" i="12"/>
  <c r="I20" i="12"/>
  <c r="H20" i="12"/>
  <c r="G20" i="12"/>
  <c r="F20" i="12"/>
  <c r="AA19" i="12"/>
  <c r="Z19" i="12"/>
  <c r="Y19" i="12"/>
  <c r="X19" i="12"/>
  <c r="W19" i="12"/>
  <c r="V19" i="12"/>
  <c r="U19" i="12"/>
  <c r="T19" i="12"/>
  <c r="S19" i="12"/>
  <c r="R19" i="12"/>
  <c r="Q19" i="12"/>
  <c r="P19" i="12"/>
  <c r="O19" i="12"/>
  <c r="N19" i="12"/>
  <c r="M19" i="12"/>
  <c r="L19" i="12"/>
  <c r="K19" i="12"/>
  <c r="J19" i="12"/>
  <c r="I19" i="12"/>
  <c r="H19" i="12"/>
  <c r="G19" i="12"/>
  <c r="F19" i="12"/>
  <c r="AA18" i="12"/>
  <c r="Z18" i="12"/>
  <c r="Y18" i="12"/>
  <c r="X18" i="12"/>
  <c r="W18" i="12"/>
  <c r="V18" i="12"/>
  <c r="U18" i="12"/>
  <c r="T18" i="12"/>
  <c r="S18" i="12"/>
  <c r="R18" i="12"/>
  <c r="Q18" i="12"/>
  <c r="P18" i="12"/>
  <c r="O18" i="12"/>
  <c r="N18" i="12"/>
  <c r="M18" i="12"/>
  <c r="L18" i="12"/>
  <c r="K18" i="12"/>
  <c r="J18" i="12"/>
  <c r="I18" i="12"/>
  <c r="H18" i="12"/>
  <c r="G18" i="12"/>
  <c r="F18" i="12"/>
  <c r="AA17" i="12"/>
  <c r="Z17" i="12"/>
  <c r="Y17" i="12"/>
  <c r="X17" i="12"/>
  <c r="W17" i="12"/>
  <c r="V17" i="12"/>
  <c r="U17" i="12"/>
  <c r="T17" i="12"/>
  <c r="S17" i="12"/>
  <c r="R17" i="12"/>
  <c r="Q17" i="12"/>
  <c r="P17" i="12"/>
  <c r="O17" i="12"/>
  <c r="N17" i="12"/>
  <c r="M17" i="12"/>
  <c r="L17" i="12"/>
  <c r="K17" i="12"/>
  <c r="J17" i="12"/>
  <c r="I17" i="12"/>
  <c r="H17" i="12"/>
  <c r="G17" i="12"/>
  <c r="F17" i="12"/>
  <c r="AA16" i="12"/>
  <c r="Z16" i="12"/>
  <c r="Y16" i="12"/>
  <c r="X16" i="12"/>
  <c r="W16" i="12"/>
  <c r="V16" i="12"/>
  <c r="U16" i="12"/>
  <c r="T16" i="12"/>
  <c r="S16" i="12"/>
  <c r="R16" i="12"/>
  <c r="Q16" i="12"/>
  <c r="P16" i="12"/>
  <c r="O16" i="12"/>
  <c r="N16" i="12"/>
  <c r="M16" i="12"/>
  <c r="L16" i="12"/>
  <c r="K16" i="12"/>
  <c r="J16" i="12"/>
  <c r="I16" i="12"/>
  <c r="H16" i="12"/>
  <c r="G16" i="12"/>
  <c r="F16" i="12"/>
  <c r="AA15" i="12"/>
  <c r="Z15" i="12"/>
  <c r="Y15" i="12"/>
  <c r="X15" i="12"/>
  <c r="W15" i="12"/>
  <c r="V15" i="12"/>
  <c r="U15" i="12"/>
  <c r="T15" i="12"/>
  <c r="S15" i="12"/>
  <c r="R15" i="12"/>
  <c r="Q15" i="12"/>
  <c r="P15" i="12"/>
  <c r="O15" i="12"/>
  <c r="N15" i="12"/>
  <c r="M15" i="12"/>
  <c r="L15" i="12"/>
  <c r="K15" i="12"/>
  <c r="J15" i="12"/>
  <c r="I15" i="12"/>
  <c r="H15" i="12"/>
  <c r="G15" i="12"/>
  <c r="F15" i="12"/>
  <c r="AA14" i="12"/>
  <c r="Z14" i="12"/>
  <c r="Y14" i="12"/>
  <c r="X14" i="12"/>
  <c r="W14" i="12"/>
  <c r="V14" i="12"/>
  <c r="U14" i="12"/>
  <c r="T14" i="12"/>
  <c r="S14" i="12"/>
  <c r="R14" i="12"/>
  <c r="Q14" i="12"/>
  <c r="P14" i="12"/>
  <c r="O14" i="12"/>
  <c r="N14" i="12"/>
  <c r="M14" i="12"/>
  <c r="L14" i="12"/>
  <c r="K14" i="12"/>
  <c r="J14" i="12"/>
  <c r="I14" i="12"/>
  <c r="H14" i="12"/>
  <c r="G14" i="12"/>
  <c r="F14" i="12"/>
  <c r="AA13" i="12"/>
  <c r="Z13" i="12"/>
  <c r="Y13" i="12"/>
  <c r="X13" i="12"/>
  <c r="W13" i="12"/>
  <c r="V13" i="12"/>
  <c r="U13" i="12"/>
  <c r="T13" i="12"/>
  <c r="S13" i="12"/>
  <c r="R13" i="12"/>
  <c r="Q13" i="12"/>
  <c r="P13" i="12"/>
  <c r="O13" i="12"/>
  <c r="N13" i="12"/>
  <c r="M13" i="12"/>
  <c r="L13" i="12"/>
  <c r="K13" i="12"/>
  <c r="J13" i="12"/>
  <c r="I13" i="12"/>
  <c r="H13" i="12"/>
  <c r="G13" i="12"/>
  <c r="F13" i="12"/>
  <c r="AA12" i="12"/>
  <c r="Z12" i="12"/>
  <c r="Y12" i="12"/>
  <c r="X12" i="12"/>
  <c r="W12" i="12"/>
  <c r="V12" i="12"/>
  <c r="U12" i="12"/>
  <c r="T12" i="12"/>
  <c r="S12" i="12"/>
  <c r="R12" i="12"/>
  <c r="Q12" i="12"/>
  <c r="P12" i="12"/>
  <c r="O12" i="12"/>
  <c r="N12" i="12"/>
  <c r="M12" i="12"/>
  <c r="L12" i="12"/>
  <c r="K12" i="12"/>
  <c r="J12" i="12"/>
  <c r="I12" i="12"/>
  <c r="H12" i="12"/>
  <c r="G12" i="12"/>
  <c r="F12" i="12"/>
  <c r="AA11" i="12"/>
  <c r="Z11" i="12"/>
  <c r="Y11" i="12"/>
  <c r="X11" i="12"/>
  <c r="W11" i="12"/>
  <c r="V11" i="12"/>
  <c r="U11" i="12"/>
  <c r="T11" i="12"/>
  <c r="S11" i="12"/>
  <c r="R11" i="12"/>
  <c r="Q11" i="12"/>
  <c r="P11" i="12"/>
  <c r="O11" i="12"/>
  <c r="N11" i="12"/>
  <c r="M11" i="12"/>
  <c r="L11" i="12"/>
  <c r="K11" i="12"/>
  <c r="J11" i="12"/>
  <c r="I11" i="12"/>
  <c r="H11" i="12"/>
  <c r="G11" i="12"/>
  <c r="F11" i="12"/>
  <c r="AA10" i="12"/>
  <c r="Z10" i="12"/>
  <c r="Y10" i="12"/>
  <c r="X10" i="12"/>
  <c r="W10" i="12"/>
  <c r="V10" i="12"/>
  <c r="U10" i="12"/>
  <c r="T10" i="12"/>
  <c r="S10" i="12"/>
  <c r="R10" i="12"/>
  <c r="Q10" i="12"/>
  <c r="P10" i="12"/>
  <c r="O10" i="12"/>
  <c r="N10" i="12"/>
  <c r="M10" i="12"/>
  <c r="L10" i="12"/>
  <c r="K10" i="12"/>
  <c r="J10" i="12"/>
  <c r="I10" i="12"/>
  <c r="H10" i="12"/>
  <c r="G10" i="12"/>
  <c r="F10" i="12"/>
  <c r="AA9" i="12"/>
  <c r="Z9" i="12"/>
  <c r="Y9" i="12"/>
  <c r="X9" i="12"/>
  <c r="W9" i="12"/>
  <c r="V9" i="12"/>
  <c r="U9" i="12"/>
  <c r="T9" i="12"/>
  <c r="S9" i="12"/>
  <c r="R9" i="12"/>
  <c r="Q9" i="12"/>
  <c r="P9" i="12"/>
  <c r="O9" i="12"/>
  <c r="N9" i="12"/>
  <c r="M9" i="12"/>
  <c r="L9" i="12"/>
  <c r="K9" i="12"/>
  <c r="J9" i="12"/>
  <c r="I9" i="12"/>
  <c r="H9" i="12"/>
  <c r="G9" i="12"/>
  <c r="F9" i="12"/>
  <c r="AA8" i="12"/>
  <c r="Z8" i="12"/>
  <c r="Y8" i="12"/>
  <c r="X8" i="12"/>
  <c r="W8" i="12"/>
  <c r="V8" i="12"/>
  <c r="U8" i="12"/>
  <c r="T8" i="12"/>
  <c r="S8" i="12"/>
  <c r="R8" i="12"/>
  <c r="Q8" i="12"/>
  <c r="P8" i="12"/>
  <c r="O8" i="12"/>
  <c r="N8" i="12"/>
  <c r="M8" i="12"/>
  <c r="L8" i="12"/>
  <c r="K8" i="12"/>
  <c r="J8" i="12"/>
  <c r="I8" i="12"/>
  <c r="H8" i="12"/>
  <c r="G8" i="12"/>
  <c r="F8" i="12"/>
  <c r="AA7" i="12"/>
  <c r="Z7" i="12"/>
  <c r="Y7" i="12"/>
  <c r="X7" i="12"/>
  <c r="W7" i="12"/>
  <c r="V7" i="12"/>
  <c r="U7" i="12"/>
  <c r="T7" i="12"/>
  <c r="S7" i="12"/>
  <c r="R7" i="12"/>
  <c r="Q7" i="12"/>
  <c r="P7" i="12"/>
  <c r="O7" i="12"/>
  <c r="N7" i="12"/>
  <c r="M7" i="12"/>
  <c r="L7" i="12"/>
  <c r="K7" i="12"/>
  <c r="J7" i="12"/>
  <c r="I7" i="12"/>
  <c r="H7" i="12"/>
  <c r="G7" i="12"/>
  <c r="F7" i="12"/>
  <c r="AA6" i="12"/>
  <c r="Z6" i="12"/>
  <c r="Y6" i="12"/>
  <c r="X6" i="12"/>
  <c r="W6" i="12"/>
  <c r="V6" i="12"/>
  <c r="U6" i="12"/>
  <c r="T6" i="12"/>
  <c r="S6" i="12"/>
  <c r="R6" i="12"/>
  <c r="Q6" i="12"/>
  <c r="P6" i="12"/>
  <c r="O6" i="12"/>
  <c r="N6" i="12"/>
  <c r="M6" i="12"/>
  <c r="L6" i="12"/>
  <c r="K6" i="12"/>
  <c r="J6" i="12"/>
  <c r="I6" i="12"/>
  <c r="H6" i="12"/>
  <c r="G6" i="12"/>
  <c r="F6" i="12"/>
  <c r="AA5" i="12"/>
  <c r="Z5" i="12"/>
  <c r="Y5" i="12"/>
  <c r="X5" i="12"/>
  <c r="W5" i="12"/>
  <c r="V5" i="12"/>
  <c r="U5" i="12"/>
  <c r="T5" i="12"/>
  <c r="S5" i="12"/>
  <c r="R5" i="12"/>
  <c r="Q5" i="12"/>
  <c r="P5" i="12"/>
  <c r="O5" i="12"/>
  <c r="N5" i="12"/>
  <c r="M5" i="12"/>
  <c r="L5" i="12"/>
  <c r="K5" i="12"/>
  <c r="J5" i="12"/>
  <c r="I5" i="12"/>
  <c r="H5" i="12"/>
  <c r="G5" i="12"/>
  <c r="F5" i="12"/>
  <c r="AA4" i="12"/>
  <c r="Z4" i="12"/>
  <c r="Y4" i="12"/>
  <c r="X4" i="12"/>
  <c r="W4" i="12"/>
  <c r="V4" i="12"/>
  <c r="U4" i="12"/>
  <c r="T4" i="12"/>
  <c r="S4" i="12"/>
  <c r="R4" i="12"/>
  <c r="Q4" i="12"/>
  <c r="P4" i="12"/>
  <c r="O4" i="12"/>
  <c r="N4" i="12"/>
  <c r="M4" i="12"/>
  <c r="L4" i="12"/>
  <c r="K4" i="12"/>
  <c r="J4" i="12"/>
  <c r="I4" i="12"/>
  <c r="H4" i="12"/>
  <c r="G4" i="12"/>
  <c r="F4" i="12"/>
  <c r="AA3" i="12"/>
  <c r="Z3" i="12"/>
  <c r="Y3" i="12"/>
  <c r="X3" i="12"/>
  <c r="W3" i="12"/>
  <c r="V3" i="12"/>
  <c r="U3" i="12"/>
  <c r="T3" i="12"/>
  <c r="S3" i="12"/>
  <c r="R3" i="12"/>
  <c r="Q3" i="12"/>
  <c r="P3" i="12"/>
  <c r="O3" i="12"/>
  <c r="N3" i="12"/>
  <c r="M3" i="12"/>
  <c r="L3" i="12"/>
  <c r="K3" i="12"/>
  <c r="J3" i="12"/>
  <c r="I3" i="12"/>
  <c r="H3" i="12"/>
  <c r="G3" i="12"/>
  <c r="F3" i="12"/>
  <c r="N4" i="9"/>
  <c r="N3" i="9"/>
  <c r="F1" i="8"/>
  <c r="B2" i="30"/>
  <c r="L1" i="15"/>
  <c r="N1" i="9"/>
  <c r="N2" i="9"/>
  <c r="F9" i="8"/>
  <c r="F10" i="8" s="1"/>
  <c r="D10" i="8"/>
  <c r="E10" i="8"/>
  <c r="D11" i="8"/>
  <c r="E11" i="8"/>
  <c r="D12" i="8"/>
  <c r="E12" i="8"/>
  <c r="D13" i="8"/>
  <c r="E13" i="8"/>
  <c r="F13" i="8"/>
  <c r="D14" i="8"/>
  <c r="E14" i="8"/>
  <c r="D15" i="8"/>
  <c r="E15" i="8"/>
  <c r="F15" i="8"/>
  <c r="D16" i="8"/>
  <c r="E16" i="8"/>
  <c r="D17" i="8"/>
  <c r="E17" i="8"/>
  <c r="F17" i="8"/>
  <c r="D18" i="8"/>
  <c r="E18" i="8"/>
  <c r="D19" i="8"/>
  <c r="E19" i="8"/>
  <c r="F19" i="8"/>
  <c r="D20" i="8"/>
  <c r="E20" i="8"/>
  <c r="D21" i="8"/>
  <c r="E21" i="8"/>
  <c r="F21" i="8"/>
  <c r="D22" i="8"/>
  <c r="E22" i="8"/>
  <c r="D23" i="8"/>
  <c r="E23" i="8"/>
  <c r="F23" i="8"/>
  <c r="D24" i="8"/>
  <c r="E24" i="8"/>
  <c r="D25" i="8"/>
  <c r="E25" i="8"/>
  <c r="D26" i="8"/>
  <c r="E26" i="8"/>
  <c r="D27" i="8"/>
  <c r="E27" i="8"/>
  <c r="D28" i="8"/>
  <c r="E28" i="8"/>
  <c r="D29" i="8"/>
  <c r="E29" i="8"/>
  <c r="D30" i="8"/>
  <c r="E30" i="8"/>
  <c r="D31" i="8"/>
  <c r="E31" i="8"/>
  <c r="D32" i="8"/>
  <c r="E32" i="8"/>
  <c r="D33" i="8"/>
  <c r="E33" i="8"/>
  <c r="D34" i="8"/>
  <c r="E34" i="8"/>
  <c r="D35" i="8"/>
  <c r="E35" i="8"/>
  <c r="D36" i="8"/>
  <c r="E36" i="8"/>
  <c r="D37" i="8"/>
  <c r="E37" i="8"/>
  <c r="D38" i="8"/>
  <c r="E38" i="8"/>
  <c r="F38" i="8"/>
  <c r="D39" i="8"/>
  <c r="E39" i="8"/>
  <c r="D40" i="8"/>
  <c r="E40" i="8"/>
  <c r="D41" i="8"/>
  <c r="E41" i="8"/>
  <c r="D42" i="8"/>
  <c r="E42" i="8"/>
  <c r="D43" i="8"/>
  <c r="E43" i="8"/>
  <c r="D44" i="8"/>
  <c r="E44" i="8"/>
  <c r="D45" i="8"/>
  <c r="E45" i="8"/>
  <c r="D46" i="8"/>
  <c r="E46" i="8"/>
  <c r="D47" i="8"/>
  <c r="E47" i="8"/>
  <c r="F47" i="8"/>
  <c r="D48" i="8"/>
  <c r="E48" i="8"/>
  <c r="D49" i="8"/>
  <c r="E49" i="8"/>
  <c r="D50" i="8"/>
  <c r="E50" i="8"/>
  <c r="D51" i="8"/>
  <c r="E51" i="8"/>
  <c r="D52" i="8"/>
  <c r="E52" i="8"/>
  <c r="D53" i="8"/>
  <c r="E53" i="8"/>
  <c r="D54" i="8"/>
  <c r="E54" i="8"/>
  <c r="D55" i="8"/>
  <c r="E55" i="8"/>
  <c r="D56" i="8"/>
  <c r="E56" i="8"/>
  <c r="F56" i="8"/>
  <c r="D57" i="8"/>
  <c r="E57" i="8"/>
  <c r="D58" i="8"/>
  <c r="E58" i="8"/>
  <c r="D59" i="8"/>
  <c r="E59" i="8"/>
  <c r="D60" i="8"/>
  <c r="E60" i="8"/>
  <c r="D61" i="8"/>
  <c r="E61" i="8"/>
  <c r="D62" i="8"/>
  <c r="E62" i="8"/>
  <c r="D63" i="8"/>
  <c r="E63" i="8"/>
  <c r="D64" i="8"/>
  <c r="E64" i="8"/>
  <c r="D65" i="8"/>
  <c r="E65" i="8"/>
  <c r="F65" i="8"/>
  <c r="D66" i="8"/>
  <c r="E66" i="8"/>
  <c r="D67" i="8"/>
  <c r="E67" i="8"/>
  <c r="D68" i="8"/>
  <c r="E68" i="8"/>
  <c r="D69" i="8"/>
  <c r="E69" i="8"/>
  <c r="D70" i="8"/>
  <c r="E70" i="8"/>
  <c r="D71" i="8"/>
  <c r="E71" i="8"/>
  <c r="D72" i="8"/>
  <c r="E72" i="8"/>
  <c r="D73" i="8"/>
  <c r="E73" i="8"/>
  <c r="D74" i="8"/>
  <c r="E74" i="8"/>
  <c r="F74" i="8"/>
  <c r="D75" i="8"/>
  <c r="E75" i="8"/>
  <c r="D76" i="8"/>
  <c r="E76" i="8"/>
  <c r="D77" i="8"/>
  <c r="E77" i="8"/>
  <c r="D78" i="8"/>
  <c r="E78" i="8"/>
  <c r="D79" i="8"/>
  <c r="E79" i="8"/>
  <c r="D80" i="8"/>
  <c r="E80" i="8"/>
  <c r="D81" i="8"/>
  <c r="E81" i="8"/>
  <c r="D82" i="8"/>
  <c r="E82" i="8"/>
  <c r="D83" i="8"/>
  <c r="E83" i="8"/>
  <c r="F83" i="8"/>
  <c r="D84" i="8"/>
  <c r="E84" i="8"/>
  <c r="D85" i="8"/>
  <c r="E85" i="8"/>
  <c r="D86" i="8"/>
  <c r="E86" i="8"/>
  <c r="D87" i="8"/>
  <c r="E87" i="8"/>
  <c r="D88" i="8"/>
  <c r="E88" i="8"/>
  <c r="D89" i="8"/>
  <c r="E89" i="8"/>
  <c r="D90" i="8"/>
  <c r="E90" i="8"/>
  <c r="D91" i="8"/>
  <c r="E91" i="8"/>
  <c r="D92" i="8"/>
  <c r="E92" i="8"/>
  <c r="F92" i="8"/>
  <c r="D93" i="8"/>
  <c r="E93" i="8"/>
  <c r="D94" i="8"/>
  <c r="E94" i="8"/>
  <c r="D95" i="8"/>
  <c r="E95" i="8"/>
  <c r="D96" i="8"/>
  <c r="E96" i="8"/>
  <c r="D97" i="8"/>
  <c r="E97" i="8"/>
  <c r="D98" i="8"/>
  <c r="E98" i="8"/>
  <c r="D99" i="8"/>
  <c r="E99" i="8"/>
  <c r="D100" i="8"/>
  <c r="E100" i="8"/>
  <c r="D101" i="8"/>
  <c r="E101" i="8"/>
  <c r="F101" i="8"/>
  <c r="D102" i="8"/>
  <c r="E102" i="8"/>
  <c r="D103" i="8"/>
  <c r="E103" i="8"/>
  <c r="D104" i="8"/>
  <c r="E104" i="8"/>
  <c r="D105" i="8"/>
  <c r="E105" i="8"/>
  <c r="D106" i="8"/>
  <c r="E106" i="8"/>
  <c r="D107" i="8"/>
  <c r="E107" i="8"/>
  <c r="D108" i="8"/>
  <c r="E108" i="8"/>
  <c r="D109" i="8"/>
  <c r="E109" i="8"/>
  <c r="D110" i="8"/>
  <c r="E110" i="8"/>
  <c r="F110" i="8"/>
  <c r="D111" i="8"/>
  <c r="E111" i="8"/>
  <c r="D112" i="8"/>
  <c r="E112" i="8"/>
  <c r="D113" i="8"/>
  <c r="E113" i="8"/>
  <c r="D114" i="8"/>
  <c r="E114" i="8"/>
  <c r="D115" i="8"/>
  <c r="E115" i="8"/>
  <c r="D116" i="8"/>
  <c r="E116" i="8"/>
  <c r="D117" i="8"/>
  <c r="E117" i="8"/>
  <c r="D118" i="8"/>
  <c r="E118" i="8"/>
  <c r="O3" i="9"/>
  <c r="O4" i="9"/>
  <c r="A4" i="15"/>
  <c r="F113" i="8" l="1"/>
  <c r="F104" i="8"/>
  <c r="F86" i="8"/>
  <c r="F68" i="8"/>
  <c r="F41" i="8"/>
  <c r="F32" i="8"/>
  <c r="F30" i="8"/>
  <c r="F28" i="8"/>
  <c r="F26" i="8"/>
  <c r="F11" i="8"/>
  <c r="F95" i="8"/>
  <c r="F77" i="8"/>
  <c r="F59" i="8"/>
  <c r="F50" i="8"/>
  <c r="F117" i="8"/>
  <c r="F108" i="8"/>
  <c r="F99" i="8"/>
  <c r="F90" i="8"/>
  <c r="F81" i="8"/>
  <c r="F72" i="8"/>
  <c r="F63" i="8"/>
  <c r="F54" i="8"/>
  <c r="F45" i="8"/>
  <c r="F36" i="8"/>
  <c r="F114" i="8"/>
  <c r="F105" i="8"/>
  <c r="F96" i="8"/>
  <c r="F87" i="8"/>
  <c r="F78" i="8"/>
  <c r="F69" i="8"/>
  <c r="F60" i="8"/>
  <c r="F51" i="8"/>
  <c r="F42" i="8"/>
  <c r="F33" i="8"/>
  <c r="F31" i="8"/>
  <c r="F29" i="8"/>
  <c r="F27" i="8"/>
  <c r="F25" i="8"/>
  <c r="F116" i="8"/>
  <c r="F107" i="8"/>
  <c r="F98" i="8"/>
  <c r="F89" i="8"/>
  <c r="F80" i="8"/>
  <c r="F71" i="8"/>
  <c r="F62" i="8"/>
  <c r="F53" i="8"/>
  <c r="F44" i="8"/>
  <c r="F35" i="8"/>
  <c r="F111" i="8"/>
  <c r="F102" i="8"/>
  <c r="F93" i="8"/>
  <c r="F84" i="8"/>
  <c r="F75" i="8"/>
  <c r="F66" i="8"/>
  <c r="F57" i="8"/>
  <c r="F48" i="8"/>
  <c r="F39" i="8"/>
  <c r="F22" i="8"/>
  <c r="F20" i="8"/>
  <c r="F18" i="8"/>
  <c r="F16" i="8"/>
  <c r="F14" i="8"/>
  <c r="F12" i="8"/>
  <c r="F24" i="8"/>
  <c r="F34" i="8"/>
  <c r="F37" i="8"/>
  <c r="F40" i="8"/>
  <c r="F43" i="8"/>
  <c r="F46" i="8"/>
  <c r="F49" i="8"/>
  <c r="F52" i="8"/>
  <c r="F55" i="8"/>
  <c r="F58" i="8"/>
  <c r="F61" i="8"/>
  <c r="F64" i="8"/>
  <c r="F67" i="8"/>
  <c r="F70" i="8"/>
  <c r="F73" i="8"/>
  <c r="F76" i="8"/>
  <c r="F79" i="8"/>
  <c r="F82" i="8"/>
  <c r="F85" i="8"/>
  <c r="F88" i="8"/>
  <c r="F91" i="8"/>
  <c r="F94" i="8"/>
  <c r="F97" i="8"/>
  <c r="F100" i="8"/>
  <c r="F103" i="8"/>
  <c r="F106" i="8"/>
  <c r="F109" i="8"/>
  <c r="F112" i="8"/>
  <c r="F115" i="8"/>
  <c r="F118" i="8"/>
  <c r="G9" i="8"/>
  <c r="V65" i="12"/>
  <c r="O66" i="12"/>
  <c r="AA69" i="12"/>
  <c r="AA70" i="12"/>
  <c r="Z69" i="12"/>
  <c r="Z70" i="12"/>
  <c r="Y70" i="12"/>
  <c r="Y69" i="12"/>
  <c r="X69" i="12"/>
  <c r="X70" i="12"/>
  <c r="W69" i="12"/>
  <c r="W70" i="12"/>
  <c r="V70" i="12"/>
  <c r="U70" i="12"/>
  <c r="U69" i="12"/>
  <c r="T69" i="12"/>
  <c r="S70" i="12"/>
  <c r="R69" i="12"/>
  <c r="R70" i="12"/>
  <c r="Q69" i="12"/>
  <c r="Q70" i="12"/>
  <c r="P70" i="12"/>
  <c r="P69" i="12"/>
  <c r="O70" i="12"/>
  <c r="O69" i="12"/>
  <c r="N70" i="12"/>
  <c r="X66" i="12"/>
  <c r="W66" i="12"/>
  <c r="V66" i="12"/>
  <c r="U66" i="12"/>
  <c r="T66" i="12"/>
  <c r="T70" i="12"/>
  <c r="Q66" i="12"/>
  <c r="AA65" i="12"/>
  <c r="Z65" i="12"/>
  <c r="Y65" i="12"/>
  <c r="V69" i="12"/>
  <c r="T65" i="12"/>
  <c r="S65" i="12"/>
  <c r="R65" i="12"/>
  <c r="P65" i="12"/>
  <c r="N69" i="12"/>
  <c r="N65" i="12"/>
  <c r="AA66" i="12"/>
  <c r="Z66" i="12"/>
  <c r="Y66" i="12"/>
  <c r="X65" i="12"/>
  <c r="W65" i="12"/>
  <c r="U65" i="12"/>
  <c r="S66" i="12"/>
  <c r="R66" i="12"/>
  <c r="Q65" i="12"/>
  <c r="P66" i="12"/>
  <c r="O65" i="12"/>
  <c r="N66" i="12"/>
  <c r="N3" i="33"/>
  <c r="N19" i="33"/>
  <c r="N14" i="33"/>
  <c r="N2" i="12"/>
  <c r="G34" i="8" l="1"/>
  <c r="G37" i="8"/>
  <c r="G40" i="8"/>
  <c r="G43" i="8"/>
  <c r="G46" i="8"/>
  <c r="G49" i="8"/>
  <c r="G52" i="8"/>
  <c r="G55" i="8"/>
  <c r="G58" i="8"/>
  <c r="G61" i="8"/>
  <c r="G64" i="8"/>
  <c r="G67" i="8"/>
  <c r="G70" i="8"/>
  <c r="G73" i="8"/>
  <c r="G76" i="8"/>
  <c r="G79" i="8"/>
  <c r="G82" i="8"/>
  <c r="G85" i="8"/>
  <c r="G88" i="8"/>
  <c r="G91" i="8"/>
  <c r="G94" i="8"/>
  <c r="G97" i="8"/>
  <c r="G100" i="8"/>
  <c r="G103" i="8"/>
  <c r="G106" i="8"/>
  <c r="G109" i="8"/>
  <c r="G112" i="8"/>
  <c r="G115" i="8"/>
  <c r="G118" i="8"/>
  <c r="H9" i="8"/>
  <c r="G27" i="8"/>
  <c r="G20" i="8"/>
  <c r="G12" i="8"/>
  <c r="G38" i="8"/>
  <c r="G45" i="8"/>
  <c r="G56" i="8"/>
  <c r="G63" i="8"/>
  <c r="G74" i="8"/>
  <c r="G81" i="8"/>
  <c r="G92" i="8"/>
  <c r="G99" i="8"/>
  <c r="G110" i="8"/>
  <c r="G117" i="8"/>
  <c r="G32" i="8"/>
  <c r="G35" i="8"/>
  <c r="G50" i="8"/>
  <c r="G65" i="8"/>
  <c r="G72" i="8"/>
  <c r="G87" i="8"/>
  <c r="G102" i="8"/>
  <c r="G18" i="8"/>
  <c r="G42" i="8"/>
  <c r="G57" i="8"/>
  <c r="G98" i="8"/>
  <c r="G113" i="8"/>
  <c r="G19" i="8"/>
  <c r="G39" i="8"/>
  <c r="G47" i="8"/>
  <c r="G93" i="8"/>
  <c r="G101" i="8"/>
  <c r="G24" i="8"/>
  <c r="G54" i="8"/>
  <c r="G62" i="8"/>
  <c r="G66" i="8"/>
  <c r="G89" i="8"/>
  <c r="G108" i="8"/>
  <c r="G116" i="8"/>
  <c r="G16" i="8"/>
  <c r="G96" i="8"/>
  <c r="G31" i="8"/>
  <c r="G69" i="8"/>
  <c r="G77" i="8"/>
  <c r="G104" i="8"/>
  <c r="G23" i="8"/>
  <c r="G28" i="8"/>
  <c r="G84" i="8"/>
  <c r="G105" i="8"/>
  <c r="G51" i="8"/>
  <c r="G71" i="8"/>
  <c r="G75" i="8"/>
  <c r="G83" i="8"/>
  <c r="G95" i="8"/>
  <c r="G13" i="8"/>
  <c r="G68" i="8"/>
  <c r="G80" i="8"/>
  <c r="G59" i="8"/>
  <c r="G17" i="8"/>
  <c r="G11" i="8"/>
  <c r="G86" i="8"/>
  <c r="G90" i="8"/>
  <c r="G107" i="8"/>
  <c r="G111" i="8"/>
  <c r="G21" i="8"/>
  <c r="G25" i="8"/>
  <c r="G36" i="8"/>
  <c r="G30" i="8"/>
  <c r="G26" i="8"/>
  <c r="G33" i="8"/>
  <c r="G44" i="8"/>
  <c r="G48" i="8"/>
  <c r="G114" i="8"/>
  <c r="G22" i="8"/>
  <c r="G78" i="8"/>
  <c r="G14" i="8"/>
  <c r="G60" i="8"/>
  <c r="G10" i="8"/>
  <c r="G29" i="8"/>
  <c r="G41" i="8"/>
  <c r="G53" i="8"/>
  <c r="G15" i="8"/>
  <c r="M19" i="33"/>
  <c r="O8" i="33"/>
  <c r="O3" i="33"/>
  <c r="O19" i="33"/>
  <c r="O14" i="33"/>
  <c r="O4" i="33"/>
  <c r="O7" i="33"/>
  <c r="O2" i="12"/>
  <c r="M2" i="12"/>
  <c r="H64" i="8" l="1"/>
  <c r="H68" i="8"/>
  <c r="H100" i="8"/>
  <c r="H78" i="8"/>
  <c r="H57" i="8"/>
  <c r="H61" i="8"/>
  <c r="H96" i="8"/>
  <c r="H80" i="8"/>
  <c r="H11" i="8"/>
  <c r="H59" i="8"/>
  <c r="H54" i="8"/>
  <c r="H92" i="8"/>
  <c r="H72" i="8"/>
  <c r="H47" i="8"/>
  <c r="H56" i="8"/>
  <c r="H88" i="8"/>
  <c r="H70" i="8"/>
  <c r="H97" i="8"/>
  <c r="H74" i="8"/>
  <c r="H43" i="8"/>
  <c r="H24" i="8"/>
  <c r="H32" i="8"/>
  <c r="H51" i="8"/>
  <c r="H112" i="8"/>
  <c r="H111" i="8"/>
  <c r="H21" i="8"/>
  <c r="H69" i="8"/>
  <c r="H93" i="8"/>
  <c r="H20" i="8"/>
  <c r="H28" i="8"/>
  <c r="H36" i="8"/>
  <c r="H104" i="8"/>
  <c r="H103" i="8"/>
  <c r="H105" i="8"/>
  <c r="H110" i="8"/>
  <c r="H84" i="8"/>
  <c r="H107" i="8"/>
  <c r="H16" i="8"/>
  <c r="H26" i="8"/>
  <c r="H29" i="8"/>
  <c r="H102" i="8"/>
  <c r="H73" i="8"/>
  <c r="H99" i="8"/>
  <c r="H114" i="8"/>
  <c r="H22" i="8"/>
  <c r="H101" i="8"/>
  <c r="H34" i="8"/>
  <c r="H31" i="8"/>
  <c r="H77" i="8"/>
  <c r="H60" i="8"/>
  <c r="H10" i="8"/>
  <c r="H118" i="8"/>
  <c r="H13" i="8"/>
  <c r="H62" i="8"/>
  <c r="H46" i="8"/>
  <c r="H30" i="8"/>
  <c r="H94" i="8"/>
  <c r="H116" i="8"/>
  <c r="H42" i="8"/>
  <c r="H41" i="8"/>
  <c r="H95" i="8"/>
  <c r="H86" i="8"/>
  <c r="H108" i="8"/>
  <c r="H37" i="8"/>
  <c r="H27" i="8"/>
  <c r="H87" i="8"/>
  <c r="H25" i="8"/>
  <c r="H52" i="8"/>
  <c r="H76" i="8"/>
  <c r="H109" i="8"/>
  <c r="I9" i="8"/>
  <c r="H66" i="8"/>
  <c r="H113" i="8"/>
  <c r="H12" i="8"/>
  <c r="H63" i="8"/>
  <c r="H106" i="8"/>
  <c r="H55" i="8"/>
  <c r="H90" i="8"/>
  <c r="H48" i="8"/>
  <c r="H82" i="8"/>
  <c r="H45" i="8"/>
  <c r="H19" i="8"/>
  <c r="H38" i="8"/>
  <c r="H71" i="8"/>
  <c r="H14" i="8"/>
  <c r="H33" i="8"/>
  <c r="H65" i="8"/>
  <c r="H17" i="8"/>
  <c r="H58" i="8"/>
  <c r="H98" i="8"/>
  <c r="H53" i="8"/>
  <c r="H50" i="8"/>
  <c r="H89" i="8"/>
  <c r="H91" i="8"/>
  <c r="H83" i="8"/>
  <c r="H67" i="8"/>
  <c r="H85" i="8"/>
  <c r="H79" i="8"/>
  <c r="H117" i="8"/>
  <c r="H49" i="8"/>
  <c r="H40" i="8"/>
  <c r="H35" i="8"/>
  <c r="H75" i="8"/>
  <c r="H18" i="8"/>
  <c r="H115" i="8"/>
  <c r="H23" i="8"/>
  <c r="H15" i="8"/>
  <c r="H39" i="8"/>
  <c r="H44" i="8"/>
  <c r="H81" i="8"/>
  <c r="M21" i="33"/>
  <c r="M20" i="33"/>
  <c r="O20" i="33"/>
  <c r="O21" i="33"/>
  <c r="N21" i="33"/>
  <c r="N20" i="33"/>
  <c r="N7" i="33"/>
  <c r="N8" i="33"/>
  <c r="O5" i="33"/>
  <c r="N4" i="33"/>
  <c r="N5" i="33"/>
  <c r="L19" i="33"/>
  <c r="L21" i="33"/>
  <c r="L20" i="33"/>
  <c r="P3" i="33"/>
  <c r="P19" i="33"/>
  <c r="P14" i="33"/>
  <c r="P5" i="33"/>
  <c r="P8" i="33"/>
  <c r="P4" i="33"/>
  <c r="P7" i="33"/>
  <c r="P2" i="12"/>
  <c r="L2" i="12"/>
  <c r="I26" i="8" l="1"/>
  <c r="I111" i="8"/>
  <c r="I49" i="8"/>
  <c r="I53" i="8"/>
  <c r="I67" i="8"/>
  <c r="I62" i="8"/>
  <c r="I97" i="8"/>
  <c r="I81" i="8"/>
  <c r="I30" i="8"/>
  <c r="I18" i="8"/>
  <c r="I103" i="8"/>
  <c r="I39" i="8"/>
  <c r="I48" i="8"/>
  <c r="I52" i="8"/>
  <c r="I57" i="8"/>
  <c r="I89" i="8"/>
  <c r="I75" i="8"/>
  <c r="I102" i="8"/>
  <c r="I80" i="8"/>
  <c r="I34" i="8"/>
  <c r="I63" i="8"/>
  <c r="I91" i="8"/>
  <c r="I56" i="8"/>
  <c r="I41" i="8"/>
  <c r="I17" i="8"/>
  <c r="I70" i="8"/>
  <c r="I94" i="8"/>
  <c r="I58" i="8"/>
  <c r="I83" i="8"/>
  <c r="I51" i="8"/>
  <c r="I31" i="8"/>
  <c r="I29" i="8"/>
  <c r="I40" i="8"/>
  <c r="I69" i="8"/>
  <c r="I43" i="8"/>
  <c r="I107" i="8"/>
  <c r="I76" i="8"/>
  <c r="I112" i="8"/>
  <c r="I115" i="8"/>
  <c r="I35" i="8"/>
  <c r="I64" i="8"/>
  <c r="I28" i="8"/>
  <c r="I99" i="8"/>
  <c r="I71" i="8"/>
  <c r="I104" i="8"/>
  <c r="I114" i="8"/>
  <c r="I50" i="8"/>
  <c r="I68" i="8"/>
  <c r="I116" i="8"/>
  <c r="I36" i="8"/>
  <c r="I96" i="8"/>
  <c r="I45" i="8"/>
  <c r="I54" i="8"/>
  <c r="I108" i="8"/>
  <c r="I90" i="8"/>
  <c r="I88" i="8"/>
  <c r="I19" i="8"/>
  <c r="I86" i="8"/>
  <c r="I100" i="8"/>
  <c r="I82" i="8"/>
  <c r="I60" i="8"/>
  <c r="I11" i="8"/>
  <c r="J9" i="8"/>
  <c r="I74" i="8"/>
  <c r="I92" i="8"/>
  <c r="I77" i="8"/>
  <c r="I46" i="8"/>
  <c r="I110" i="8"/>
  <c r="I44" i="8"/>
  <c r="I72" i="8"/>
  <c r="I23" i="8"/>
  <c r="I15" i="8"/>
  <c r="I14" i="8"/>
  <c r="I95" i="8"/>
  <c r="I84" i="8"/>
  <c r="I21" i="8"/>
  <c r="I105" i="8"/>
  <c r="I65" i="8"/>
  <c r="I66" i="8"/>
  <c r="I55" i="8"/>
  <c r="I61" i="8"/>
  <c r="I25" i="8"/>
  <c r="I38" i="8"/>
  <c r="I10" i="8"/>
  <c r="I33" i="8"/>
  <c r="I113" i="8"/>
  <c r="I87" i="8"/>
  <c r="I73" i="8"/>
  <c r="I118" i="8"/>
  <c r="I117" i="8"/>
  <c r="I13" i="8"/>
  <c r="I109" i="8"/>
  <c r="I98" i="8"/>
  <c r="I85" i="8"/>
  <c r="I20" i="8"/>
  <c r="I24" i="8"/>
  <c r="I22" i="8"/>
  <c r="I27" i="8"/>
  <c r="I47" i="8"/>
  <c r="I42" i="8"/>
  <c r="I37" i="8"/>
  <c r="I32" i="8"/>
  <c r="I79" i="8"/>
  <c r="I12" i="8"/>
  <c r="I59" i="8"/>
  <c r="I106" i="8"/>
  <c r="I16" i="8"/>
  <c r="I78" i="8"/>
  <c r="I101" i="8"/>
  <c r="I93" i="8"/>
  <c r="P21" i="33"/>
  <c r="P20" i="33"/>
  <c r="Q36" i="33" s="1"/>
  <c r="P37" i="33"/>
  <c r="P36" i="33"/>
  <c r="Q2" i="12"/>
  <c r="K19" i="33"/>
  <c r="K21" i="33"/>
  <c r="K20" i="33"/>
  <c r="K2" i="12"/>
  <c r="Q20" i="33"/>
  <c r="Q8" i="33"/>
  <c r="Q21" i="33"/>
  <c r="Q3" i="33"/>
  <c r="Q19" i="33"/>
  <c r="Q14" i="33"/>
  <c r="Q5" i="33"/>
  <c r="Q7" i="33"/>
  <c r="Q4" i="33"/>
  <c r="J75" i="8" l="1"/>
  <c r="J44" i="8"/>
  <c r="J17" i="8"/>
  <c r="J84" i="8"/>
  <c r="J98" i="8"/>
  <c r="J76" i="8"/>
  <c r="J29" i="8"/>
  <c r="J74" i="8"/>
  <c r="J46" i="8"/>
  <c r="J60" i="8"/>
  <c r="J25" i="8"/>
  <c r="J15" i="8"/>
  <c r="J53" i="8"/>
  <c r="J90" i="8"/>
  <c r="J61" i="8"/>
  <c r="J111" i="8"/>
  <c r="J41" i="8"/>
  <c r="J99" i="8"/>
  <c r="J96" i="8"/>
  <c r="J94" i="8"/>
  <c r="J93" i="8"/>
  <c r="J37" i="8"/>
  <c r="J56" i="8"/>
  <c r="J30" i="8"/>
  <c r="J49" i="8"/>
  <c r="J21" i="8"/>
  <c r="J88" i="8"/>
  <c r="J86" i="8"/>
  <c r="J85" i="8"/>
  <c r="J32" i="8"/>
  <c r="J36" i="8"/>
  <c r="J55" i="8"/>
  <c r="J78" i="8"/>
  <c r="J20" i="8"/>
  <c r="J69" i="8"/>
  <c r="J109" i="8"/>
  <c r="J114" i="8"/>
  <c r="J62" i="8"/>
  <c r="J70" i="8"/>
  <c r="J103" i="8"/>
  <c r="J64" i="8"/>
  <c r="J101" i="8"/>
  <c r="J106" i="8"/>
  <c r="J13" i="8"/>
  <c r="J27" i="8"/>
  <c r="J81" i="8"/>
  <c r="J31" i="8"/>
  <c r="J19" i="8"/>
  <c r="J52" i="8"/>
  <c r="J97" i="8"/>
  <c r="J115" i="8"/>
  <c r="J51" i="8"/>
  <c r="J16" i="8"/>
  <c r="J118" i="8"/>
  <c r="J108" i="8"/>
  <c r="J89" i="8"/>
  <c r="J91" i="8"/>
  <c r="J43" i="8"/>
  <c r="J110" i="8"/>
  <c r="J100" i="8"/>
  <c r="J59" i="8"/>
  <c r="J34" i="8"/>
  <c r="J73" i="8"/>
  <c r="J102" i="8"/>
  <c r="J92" i="8"/>
  <c r="J50" i="8"/>
  <c r="J79" i="8"/>
  <c r="J66" i="8"/>
  <c r="J26" i="8"/>
  <c r="J117" i="8"/>
  <c r="J71" i="8"/>
  <c r="J38" i="8"/>
  <c r="J22" i="8"/>
  <c r="J11" i="8"/>
  <c r="J57" i="8"/>
  <c r="J24" i="8"/>
  <c r="J35" i="8"/>
  <c r="J23" i="8"/>
  <c r="J12" i="8"/>
  <c r="J112" i="8"/>
  <c r="J68" i="8"/>
  <c r="J113" i="8"/>
  <c r="J33" i="8"/>
  <c r="J104" i="8"/>
  <c r="J105" i="8"/>
  <c r="K9" i="8"/>
  <c r="J10" i="8"/>
  <c r="J63" i="8"/>
  <c r="J54" i="8"/>
  <c r="J28" i="8"/>
  <c r="J83" i="8"/>
  <c r="J47" i="8"/>
  <c r="J39" i="8"/>
  <c r="J48" i="8"/>
  <c r="J107" i="8"/>
  <c r="J95" i="8"/>
  <c r="J18" i="8"/>
  <c r="J87" i="8"/>
  <c r="J116" i="8"/>
  <c r="J80" i="8"/>
  <c r="J45" i="8"/>
  <c r="J40" i="8"/>
  <c r="J82" i="8"/>
  <c r="J77" i="8"/>
  <c r="J72" i="8"/>
  <c r="J42" i="8"/>
  <c r="J14" i="8"/>
  <c r="J67" i="8"/>
  <c r="J58" i="8"/>
  <c r="J65" i="8"/>
  <c r="Q37" i="33"/>
  <c r="J2" i="12"/>
  <c r="R3" i="33"/>
  <c r="R19" i="33"/>
  <c r="R5" i="33"/>
  <c r="R14" i="33"/>
  <c r="R8" i="33"/>
  <c r="R4" i="33"/>
  <c r="R7" i="33"/>
  <c r="O36" i="33"/>
  <c r="O37" i="33"/>
  <c r="R2" i="12"/>
  <c r="R37" i="33"/>
  <c r="R36" i="33"/>
  <c r="J20" i="33"/>
  <c r="R28" i="33" s="1"/>
  <c r="J19" i="33"/>
  <c r="J21" i="33"/>
  <c r="K45" i="8" l="1"/>
  <c r="K95" i="8"/>
  <c r="K51" i="8"/>
  <c r="K49" i="8"/>
  <c r="K17" i="8"/>
  <c r="K84" i="8"/>
  <c r="K57" i="8"/>
  <c r="K79" i="8"/>
  <c r="K23" i="8"/>
  <c r="K94" i="8"/>
  <c r="K19" i="8"/>
  <c r="K102" i="8"/>
  <c r="K30" i="8"/>
  <c r="K48" i="8"/>
  <c r="K56" i="8"/>
  <c r="K118" i="8"/>
  <c r="K78" i="8"/>
  <c r="K93" i="8"/>
  <c r="K81" i="8"/>
  <c r="K86" i="8"/>
  <c r="K99" i="8"/>
  <c r="K41" i="8"/>
  <c r="K71" i="8"/>
  <c r="K74" i="8"/>
  <c r="K104" i="8"/>
  <c r="K96" i="8"/>
  <c r="K111" i="8"/>
  <c r="K58" i="8"/>
  <c r="K40" i="8"/>
  <c r="K34" i="8"/>
  <c r="K110" i="8"/>
  <c r="K66" i="8"/>
  <c r="K115" i="8"/>
  <c r="K65" i="8"/>
  <c r="K109" i="8"/>
  <c r="K39" i="8"/>
  <c r="K89" i="8"/>
  <c r="K10" i="8"/>
  <c r="K80" i="8"/>
  <c r="K59" i="8"/>
  <c r="K22" i="8"/>
  <c r="K36" i="8"/>
  <c r="K52" i="8"/>
  <c r="K68" i="8"/>
  <c r="K97" i="8"/>
  <c r="K27" i="8"/>
  <c r="K20" i="8"/>
  <c r="K46" i="8"/>
  <c r="K21" i="8"/>
  <c r="K103" i="8"/>
  <c r="K92" i="8"/>
  <c r="L9" i="8"/>
  <c r="K37" i="8"/>
  <c r="K64" i="8"/>
  <c r="K24" i="8"/>
  <c r="K28" i="8"/>
  <c r="K113" i="8"/>
  <c r="K11" i="8"/>
  <c r="K53" i="8"/>
  <c r="K90" i="8"/>
  <c r="K55" i="8"/>
  <c r="K112" i="8"/>
  <c r="K76" i="8"/>
  <c r="K63" i="8"/>
  <c r="K13" i="8"/>
  <c r="K114" i="8"/>
  <c r="K31" i="8"/>
  <c r="K91" i="8"/>
  <c r="K77" i="8"/>
  <c r="K98" i="8"/>
  <c r="K25" i="8"/>
  <c r="K73" i="8"/>
  <c r="K18" i="8"/>
  <c r="K82" i="8"/>
  <c r="K32" i="8"/>
  <c r="K116" i="8"/>
  <c r="K43" i="8"/>
  <c r="K26" i="8"/>
  <c r="K16" i="8"/>
  <c r="K15" i="8"/>
  <c r="K29" i="8"/>
  <c r="K69" i="8"/>
  <c r="K106" i="8"/>
  <c r="K44" i="8"/>
  <c r="K83" i="8"/>
  <c r="K72" i="8"/>
  <c r="K60" i="8"/>
  <c r="K70" i="8"/>
  <c r="K87" i="8"/>
  <c r="K61" i="8"/>
  <c r="K67" i="8"/>
  <c r="K85" i="8"/>
  <c r="K100" i="8"/>
  <c r="K105" i="8"/>
  <c r="K75" i="8"/>
  <c r="K50" i="8"/>
  <c r="K14" i="8"/>
  <c r="K108" i="8"/>
  <c r="K117" i="8"/>
  <c r="K38" i="8"/>
  <c r="K12" i="8"/>
  <c r="K33" i="8"/>
  <c r="K54" i="8"/>
  <c r="K62" i="8"/>
  <c r="K107" i="8"/>
  <c r="K88" i="8"/>
  <c r="K47" i="8"/>
  <c r="K35" i="8"/>
  <c r="K101" i="8"/>
  <c r="K42" i="8"/>
  <c r="R32" i="33"/>
  <c r="S3" i="33"/>
  <c r="S19" i="33"/>
  <c r="S14" i="33"/>
  <c r="R15" i="33"/>
  <c r="S5" i="33"/>
  <c r="N37" i="33"/>
  <c r="N36" i="33"/>
  <c r="R33" i="33"/>
  <c r="R29" i="33"/>
  <c r="R16" i="33" s="1"/>
  <c r="I20" i="33"/>
  <c r="I19" i="33"/>
  <c r="I21" i="33"/>
  <c r="S2" i="12"/>
  <c r="R25" i="33"/>
  <c r="R24" i="33"/>
  <c r="I2" i="12"/>
  <c r="L86" i="8" l="1"/>
  <c r="L14" i="8"/>
  <c r="L113" i="8"/>
  <c r="L12" i="8"/>
  <c r="L52" i="8"/>
  <c r="L78" i="8"/>
  <c r="L88" i="8"/>
  <c r="L11" i="8"/>
  <c r="L57" i="8"/>
  <c r="L95" i="8"/>
  <c r="L115" i="8"/>
  <c r="L98" i="8"/>
  <c r="L51" i="8"/>
  <c r="M9" i="8"/>
  <c r="L33" i="8"/>
  <c r="L85" i="8"/>
  <c r="L66" i="8"/>
  <c r="L41" i="8"/>
  <c r="L36" i="8"/>
  <c r="L27" i="8"/>
  <c r="L13" i="8"/>
  <c r="L45" i="8"/>
  <c r="L74" i="8"/>
  <c r="L101" i="8"/>
  <c r="L24" i="8"/>
  <c r="L70" i="8"/>
  <c r="L18" i="8"/>
  <c r="L17" i="8"/>
  <c r="L25" i="8"/>
  <c r="L19" i="8"/>
  <c r="L21" i="8"/>
  <c r="L103" i="8"/>
  <c r="L99" i="8"/>
  <c r="L71" i="8"/>
  <c r="L49" i="8"/>
  <c r="L97" i="8"/>
  <c r="L42" i="8"/>
  <c r="L34" i="8"/>
  <c r="L35" i="8"/>
  <c r="L62" i="8"/>
  <c r="L110" i="8"/>
  <c r="L48" i="8"/>
  <c r="L90" i="8"/>
  <c r="L117" i="8"/>
  <c r="L91" i="8"/>
  <c r="L94" i="8"/>
  <c r="L107" i="8"/>
  <c r="L102" i="8"/>
  <c r="L67" i="8"/>
  <c r="L77" i="8"/>
  <c r="L53" i="8"/>
  <c r="L55" i="8"/>
  <c r="L87" i="8"/>
  <c r="L89" i="8"/>
  <c r="L76" i="8"/>
  <c r="L22" i="8"/>
  <c r="L60" i="8"/>
  <c r="L26" i="8"/>
  <c r="L83" i="8"/>
  <c r="L104" i="8"/>
  <c r="L73" i="8"/>
  <c r="L10" i="8"/>
  <c r="L64" i="8"/>
  <c r="L108" i="8"/>
  <c r="L118" i="8"/>
  <c r="L111" i="8"/>
  <c r="L96" i="8"/>
  <c r="L44" i="8"/>
  <c r="L37" i="8"/>
  <c r="L92" i="8"/>
  <c r="L93" i="8"/>
  <c r="L63" i="8"/>
  <c r="L116" i="8"/>
  <c r="L28" i="8"/>
  <c r="L56" i="8"/>
  <c r="L39" i="8"/>
  <c r="L43" i="8"/>
  <c r="L15" i="8"/>
  <c r="L100" i="8"/>
  <c r="L105" i="8"/>
  <c r="L20" i="8"/>
  <c r="L38" i="8"/>
  <c r="L72" i="8"/>
  <c r="L109" i="8"/>
  <c r="L32" i="8"/>
  <c r="L80" i="8"/>
  <c r="L114" i="8"/>
  <c r="L79" i="8"/>
  <c r="L23" i="8"/>
  <c r="L68" i="8"/>
  <c r="L75" i="8"/>
  <c r="L106" i="8"/>
  <c r="L81" i="8"/>
  <c r="L82" i="8"/>
  <c r="L65" i="8"/>
  <c r="L29" i="8"/>
  <c r="L46" i="8"/>
  <c r="L112" i="8"/>
  <c r="L58" i="8"/>
  <c r="L30" i="8"/>
  <c r="L69" i="8"/>
  <c r="L84" i="8"/>
  <c r="L54" i="8"/>
  <c r="L61" i="8"/>
  <c r="L47" i="8"/>
  <c r="L40" i="8"/>
  <c r="L59" i="8"/>
  <c r="L31" i="8"/>
  <c r="L16" i="8"/>
  <c r="L50" i="8"/>
  <c r="S4" i="33"/>
  <c r="S7" i="33"/>
  <c r="R42" i="33"/>
  <c r="T7" i="33"/>
  <c r="Q29" i="33"/>
  <c r="Q16" i="33" s="1"/>
  <c r="Q33" i="33"/>
  <c r="Q32" i="33"/>
  <c r="Q28" i="33"/>
  <c r="Q15" i="33" s="1"/>
  <c r="H2" i="12"/>
  <c r="T3" i="33"/>
  <c r="T19" i="33"/>
  <c r="T14" i="33"/>
  <c r="R21" i="33"/>
  <c r="R20" i="33"/>
  <c r="H19" i="33"/>
  <c r="H20" i="33"/>
  <c r="H21" i="33"/>
  <c r="S8" i="33"/>
  <c r="T2" i="12"/>
  <c r="Q25" i="33"/>
  <c r="Q24" i="33"/>
  <c r="R41" i="33"/>
  <c r="M100" i="8" l="1"/>
  <c r="M79" i="8"/>
  <c r="M96" i="8"/>
  <c r="M73" i="8"/>
  <c r="M10" i="8"/>
  <c r="M63" i="8"/>
  <c r="M41" i="8"/>
  <c r="M60" i="8"/>
  <c r="M91" i="8"/>
  <c r="M99" i="8"/>
  <c r="M70" i="8"/>
  <c r="M80" i="8"/>
  <c r="M112" i="8"/>
  <c r="M84" i="8"/>
  <c r="M75" i="8"/>
  <c r="M45" i="8"/>
  <c r="M15" i="8"/>
  <c r="M113" i="8"/>
  <c r="M29" i="8"/>
  <c r="M76" i="8"/>
  <c r="M16" i="8"/>
  <c r="M11" i="8"/>
  <c r="M69" i="8"/>
  <c r="M87" i="8"/>
  <c r="M114" i="8"/>
  <c r="M88" i="8"/>
  <c r="M39" i="8"/>
  <c r="M22" i="8"/>
  <c r="M58" i="8"/>
  <c r="M54" i="8"/>
  <c r="M98" i="8"/>
  <c r="M86" i="8"/>
  <c r="M52" i="8"/>
  <c r="M118" i="8"/>
  <c r="M13" i="8"/>
  <c r="M116" i="8"/>
  <c r="M90" i="8"/>
  <c r="M104" i="8"/>
  <c r="M46" i="8"/>
  <c r="M108" i="8"/>
  <c r="M18" i="8"/>
  <c r="M107" i="8"/>
  <c r="M97" i="8"/>
  <c r="M111" i="8"/>
  <c r="M25" i="8"/>
  <c r="M92" i="8"/>
  <c r="M28" i="8"/>
  <c r="M59" i="8"/>
  <c r="M85" i="8"/>
  <c r="M65" i="8"/>
  <c r="M61" i="8"/>
  <c r="M43" i="8"/>
  <c r="M36" i="8"/>
  <c r="M106" i="8"/>
  <c r="M117" i="8"/>
  <c r="M12" i="8"/>
  <c r="M66" i="8"/>
  <c r="M35" i="8"/>
  <c r="M51" i="8"/>
  <c r="M115" i="8"/>
  <c r="M82" i="8"/>
  <c r="M105" i="8"/>
  <c r="M74" i="8"/>
  <c r="M23" i="8"/>
  <c r="M17" i="8"/>
  <c r="M72" i="8"/>
  <c r="M110" i="8"/>
  <c r="M20" i="8"/>
  <c r="M93" i="8"/>
  <c r="M78" i="8"/>
  <c r="M68" i="8"/>
  <c r="M49" i="8"/>
  <c r="M24" i="8"/>
  <c r="M95" i="8"/>
  <c r="M71" i="8"/>
  <c r="M64" i="8"/>
  <c r="M57" i="8"/>
  <c r="M55" i="8"/>
  <c r="M48" i="8"/>
  <c r="M31" i="8"/>
  <c r="M21" i="8"/>
  <c r="M77" i="8"/>
  <c r="M32" i="8"/>
  <c r="M53" i="8"/>
  <c r="N9" i="8"/>
  <c r="M42" i="8"/>
  <c r="M27" i="8"/>
  <c r="M30" i="8"/>
  <c r="M50" i="8"/>
  <c r="M19" i="8"/>
  <c r="M34" i="8"/>
  <c r="M67" i="8"/>
  <c r="M40" i="8"/>
  <c r="M83" i="8"/>
  <c r="M47" i="8"/>
  <c r="M81" i="8"/>
  <c r="M14" i="8"/>
  <c r="M38" i="8"/>
  <c r="M89" i="8"/>
  <c r="M62" i="8"/>
  <c r="M103" i="8"/>
  <c r="M109" i="8"/>
  <c r="M102" i="8"/>
  <c r="M94" i="8"/>
  <c r="M37" i="8"/>
  <c r="M56" i="8"/>
  <c r="M101" i="8"/>
  <c r="M26" i="8"/>
  <c r="M33" i="8"/>
  <c r="M44" i="8"/>
  <c r="T4" i="33"/>
  <c r="U3" i="33"/>
  <c r="U19" i="33"/>
  <c r="U14" i="33"/>
  <c r="G19" i="33"/>
  <c r="G21" i="33"/>
  <c r="G20" i="33"/>
  <c r="S20" i="33"/>
  <c r="S21" i="33"/>
  <c r="T24" i="33" s="1"/>
  <c r="S25" i="33"/>
  <c r="S28" i="33"/>
  <c r="S15" i="33" s="1"/>
  <c r="S29" i="33"/>
  <c r="S16" i="33" s="1"/>
  <c r="S24" i="33"/>
  <c r="S36" i="33"/>
  <c r="S32" i="33"/>
  <c r="S33" i="33"/>
  <c r="S37" i="33"/>
  <c r="T5" i="33"/>
  <c r="G2" i="12"/>
  <c r="P33" i="33"/>
  <c r="P29" i="33"/>
  <c r="P16" i="33" s="1"/>
  <c r="P32" i="33"/>
  <c r="P28" i="33"/>
  <c r="P15" i="33" s="1"/>
  <c r="U7" i="33"/>
  <c r="P25" i="33"/>
  <c r="P24" i="33"/>
  <c r="U2" i="12"/>
  <c r="Q42" i="33"/>
  <c r="Q41" i="33"/>
  <c r="T8" i="33"/>
  <c r="N28" i="8" l="1"/>
  <c r="N73" i="8"/>
  <c r="N85" i="8"/>
  <c r="N27" i="8"/>
  <c r="N107" i="8"/>
  <c r="N45" i="8"/>
  <c r="N65" i="8"/>
  <c r="N60" i="8"/>
  <c r="N102" i="8"/>
  <c r="N10" i="8"/>
  <c r="N55" i="8"/>
  <c r="N84" i="8"/>
  <c r="N70" i="8"/>
  <c r="N89" i="8"/>
  <c r="N12" i="8"/>
  <c r="N49" i="8"/>
  <c r="N117" i="8"/>
  <c r="N40" i="8"/>
  <c r="N32" i="8"/>
  <c r="N30" i="8"/>
  <c r="N34" i="8"/>
  <c r="N76" i="8"/>
  <c r="N106" i="8"/>
  <c r="N95" i="8"/>
  <c r="N64" i="8"/>
  <c r="N112" i="8"/>
  <c r="N23" i="8"/>
  <c r="N31" i="8"/>
  <c r="N46" i="8"/>
  <c r="N63" i="8"/>
  <c r="N90" i="8"/>
  <c r="N50" i="8"/>
  <c r="N68" i="8"/>
  <c r="N69" i="8"/>
  <c r="N93" i="8"/>
  <c r="N81" i="8"/>
  <c r="N33" i="8"/>
  <c r="N103" i="8"/>
  <c r="N47" i="8"/>
  <c r="N43" i="8"/>
  <c r="N88" i="8"/>
  <c r="N54" i="8"/>
  <c r="N80" i="8"/>
  <c r="N87" i="8"/>
  <c r="N38" i="8"/>
  <c r="N111" i="8"/>
  <c r="N35" i="8"/>
  <c r="N78" i="8"/>
  <c r="N94" i="8"/>
  <c r="N37" i="8"/>
  <c r="N82" i="8"/>
  <c r="N15" i="8"/>
  <c r="N16" i="8"/>
  <c r="N29" i="8"/>
  <c r="N74" i="8"/>
  <c r="N100" i="8"/>
  <c r="N110" i="8"/>
  <c r="N71" i="8"/>
  <c r="N83" i="8"/>
  <c r="O9" i="8"/>
  <c r="N116" i="8"/>
  <c r="N44" i="8"/>
  <c r="N53" i="8"/>
  <c r="N58" i="8"/>
  <c r="N51" i="8"/>
  <c r="N105" i="8"/>
  <c r="N79" i="8"/>
  <c r="N75" i="8"/>
  <c r="N62" i="8"/>
  <c r="N67" i="8"/>
  <c r="N18" i="8"/>
  <c r="N86" i="8"/>
  <c r="N48" i="8"/>
  <c r="N39" i="8"/>
  <c r="N42" i="8"/>
  <c r="N20" i="8"/>
  <c r="N115" i="8"/>
  <c r="N96" i="8"/>
  <c r="N24" i="8"/>
  <c r="N97" i="8"/>
  <c r="N99" i="8"/>
  <c r="N11" i="8"/>
  <c r="N22" i="8"/>
  <c r="N114" i="8"/>
  <c r="N108" i="8"/>
  <c r="N19" i="8"/>
  <c r="N57" i="8"/>
  <c r="N14" i="8"/>
  <c r="N72" i="8"/>
  <c r="N13" i="8"/>
  <c r="N59" i="8"/>
  <c r="N104" i="8"/>
  <c r="N98" i="8"/>
  <c r="N91" i="8"/>
  <c r="N21" i="8"/>
  <c r="N101" i="8"/>
  <c r="N36" i="8"/>
  <c r="N26" i="8"/>
  <c r="N118" i="8"/>
  <c r="N41" i="8"/>
  <c r="N92" i="8"/>
  <c r="N113" i="8"/>
  <c r="N77" i="8"/>
  <c r="N109" i="8"/>
  <c r="N56" i="8"/>
  <c r="N17" i="8"/>
  <c r="N52" i="8"/>
  <c r="N66" i="8"/>
  <c r="N25" i="8"/>
  <c r="N61" i="8"/>
  <c r="U4" i="33"/>
  <c r="U5" i="33"/>
  <c r="V4" i="33"/>
  <c r="V3" i="33"/>
  <c r="V19" i="33"/>
  <c r="V14" i="33"/>
  <c r="P42" i="33"/>
  <c r="F19" i="33"/>
  <c r="F20" i="33"/>
  <c r="F21" i="33"/>
  <c r="P41" i="33"/>
  <c r="S41" i="33"/>
  <c r="T33" i="33"/>
  <c r="T37" i="33"/>
  <c r="O29" i="33"/>
  <c r="O16" i="33" s="1"/>
  <c r="O33" i="33"/>
  <c r="O32" i="33"/>
  <c r="O28" i="33"/>
  <c r="O15" i="33" s="1"/>
  <c r="F2" i="12"/>
  <c r="T21" i="33"/>
  <c r="U24" i="33" s="1"/>
  <c r="T20" i="33"/>
  <c r="U32" i="33" s="1"/>
  <c r="V2" i="12"/>
  <c r="S42" i="33"/>
  <c r="O25" i="33"/>
  <c r="O24" i="33"/>
  <c r="T32" i="33"/>
  <c r="T28" i="33"/>
  <c r="T15" i="33" s="1"/>
  <c r="T29" i="33"/>
  <c r="T16" i="33" s="1"/>
  <c r="T25" i="33"/>
  <c r="T36" i="33"/>
  <c r="U8" i="33"/>
  <c r="O54" i="8" l="1"/>
  <c r="O61" i="8"/>
  <c r="O37" i="8"/>
  <c r="O100" i="8"/>
  <c r="O102" i="8"/>
  <c r="O118" i="8"/>
  <c r="O117" i="8"/>
  <c r="O81" i="8"/>
  <c r="O78" i="8"/>
  <c r="O53" i="8"/>
  <c r="O68" i="8"/>
  <c r="O27" i="8"/>
  <c r="O35" i="8"/>
  <c r="O43" i="8"/>
  <c r="O48" i="8"/>
  <c r="O72" i="8"/>
  <c r="O74" i="8"/>
  <c r="O49" i="8"/>
  <c r="O65" i="8"/>
  <c r="O66" i="8"/>
  <c r="O92" i="8"/>
  <c r="O85" i="8"/>
  <c r="O50" i="8"/>
  <c r="O34" i="8"/>
  <c r="O39" i="8"/>
  <c r="O79" i="8"/>
  <c r="O16" i="8"/>
  <c r="O73" i="8"/>
  <c r="O70" i="8"/>
  <c r="O107" i="8"/>
  <c r="O41" i="8"/>
  <c r="O109" i="8"/>
  <c r="O116" i="8"/>
  <c r="O57" i="8"/>
  <c r="O60" i="8"/>
  <c r="O105" i="8"/>
  <c r="O12" i="8"/>
  <c r="O94" i="8"/>
  <c r="O114" i="8"/>
  <c r="O13" i="8"/>
  <c r="O97" i="8"/>
  <c r="O58" i="8"/>
  <c r="O40" i="8"/>
  <c r="O31" i="8"/>
  <c r="O108" i="8"/>
  <c r="O17" i="8"/>
  <c r="O55" i="8"/>
  <c r="O89" i="8"/>
  <c r="O82" i="8"/>
  <c r="O98" i="8"/>
  <c r="O87" i="8"/>
  <c r="O20" i="8"/>
  <c r="O38" i="8"/>
  <c r="O64" i="8"/>
  <c r="O96" i="8"/>
  <c r="O19" i="8"/>
  <c r="O77" i="8"/>
  <c r="O30" i="8"/>
  <c r="O59" i="8"/>
  <c r="P9" i="8"/>
  <c r="O76" i="8"/>
  <c r="O69" i="8"/>
  <c r="O110" i="8"/>
  <c r="O112" i="8"/>
  <c r="O42" i="8"/>
  <c r="O21" i="8"/>
  <c r="O88" i="8"/>
  <c r="O62" i="8"/>
  <c r="O106" i="8"/>
  <c r="O44" i="8"/>
  <c r="O25" i="8"/>
  <c r="O45" i="8"/>
  <c r="O91" i="8"/>
  <c r="O29" i="8"/>
  <c r="O47" i="8"/>
  <c r="O103" i="8"/>
  <c r="O71" i="8"/>
  <c r="O99" i="8"/>
  <c r="O83" i="8"/>
  <c r="O24" i="8"/>
  <c r="O104" i="8"/>
  <c r="O32" i="8"/>
  <c r="O10" i="8"/>
  <c r="O93" i="8"/>
  <c r="O18" i="8"/>
  <c r="O36" i="8"/>
  <c r="O46" i="8"/>
  <c r="O80" i="8"/>
  <c r="O15" i="8"/>
  <c r="O95" i="8"/>
  <c r="O28" i="8"/>
  <c r="O11" i="8"/>
  <c r="O33" i="8"/>
  <c r="O51" i="8"/>
  <c r="O23" i="8"/>
  <c r="O52" i="8"/>
  <c r="O86" i="8"/>
  <c r="O115" i="8"/>
  <c r="O113" i="8"/>
  <c r="O63" i="8"/>
  <c r="O84" i="8"/>
  <c r="O22" i="8"/>
  <c r="O56" i="8"/>
  <c r="O14" i="8"/>
  <c r="O75" i="8"/>
  <c r="O101" i="8"/>
  <c r="O26" i="8"/>
  <c r="O67" i="8"/>
  <c r="O90" i="8"/>
  <c r="O111" i="8"/>
  <c r="U33" i="33"/>
  <c r="V5" i="33"/>
  <c r="W2" i="12"/>
  <c r="O42" i="33"/>
  <c r="N28" i="33"/>
  <c r="N29" i="33"/>
  <c r="N32" i="33"/>
  <c r="N15" i="33" s="1"/>
  <c r="N33" i="33"/>
  <c r="N16" i="33" s="1"/>
  <c r="O41" i="33"/>
  <c r="N24" i="33"/>
  <c r="N25" i="33"/>
  <c r="T41" i="33"/>
  <c r="T42" i="33"/>
  <c r="W14" i="33"/>
  <c r="W3" i="33"/>
  <c r="W19" i="33"/>
  <c r="V8" i="33"/>
  <c r="U21" i="33"/>
  <c r="V25" i="33" s="1"/>
  <c r="U28" i="33"/>
  <c r="U15" i="33" s="1"/>
  <c r="U29" i="33"/>
  <c r="U16" i="33" s="1"/>
  <c r="U25" i="33"/>
  <c r="W7" i="33"/>
  <c r="U36" i="33"/>
  <c r="U37" i="33"/>
  <c r="U20" i="33"/>
  <c r="V7" i="33"/>
  <c r="P59" i="8" l="1"/>
  <c r="P69" i="8"/>
  <c r="P17" i="8"/>
  <c r="P38" i="8"/>
  <c r="P89" i="8"/>
  <c r="P90" i="8"/>
  <c r="P88" i="8"/>
  <c r="P39" i="8"/>
  <c r="P85" i="8"/>
  <c r="P73" i="8"/>
  <c r="P68" i="8"/>
  <c r="P95" i="8"/>
  <c r="P103" i="8"/>
  <c r="P96" i="8"/>
  <c r="P105" i="8"/>
  <c r="P53" i="8"/>
  <c r="P46" i="8"/>
  <c r="P101" i="8"/>
  <c r="P84" i="8"/>
  <c r="P24" i="8"/>
  <c r="P83" i="8"/>
  <c r="P104" i="8"/>
  <c r="P79" i="8"/>
  <c r="P27" i="8"/>
  <c r="P106" i="8"/>
  <c r="P92" i="8"/>
  <c r="P94" i="8"/>
  <c r="P21" i="8"/>
  <c r="P65" i="8"/>
  <c r="P55" i="8"/>
  <c r="P70" i="8"/>
  <c r="P48" i="8"/>
  <c r="P77" i="8"/>
  <c r="P41" i="8"/>
  <c r="P67" i="8"/>
  <c r="P109" i="8"/>
  <c r="P44" i="8"/>
  <c r="Q9" i="8"/>
  <c r="P56" i="8"/>
  <c r="P10" i="8"/>
  <c r="P81" i="8"/>
  <c r="P108" i="8"/>
  <c r="P32" i="8"/>
  <c r="P14" i="8"/>
  <c r="P91" i="8"/>
  <c r="P76" i="8"/>
  <c r="P61" i="8"/>
  <c r="P82" i="8"/>
  <c r="P26" i="8"/>
  <c r="P111" i="8"/>
  <c r="P74" i="8"/>
  <c r="P100" i="8"/>
  <c r="P60" i="8"/>
  <c r="P25" i="8"/>
  <c r="P30" i="8"/>
  <c r="P45" i="8"/>
  <c r="P11" i="8"/>
  <c r="P49" i="8"/>
  <c r="P64" i="8"/>
  <c r="P75" i="8"/>
  <c r="P117" i="8"/>
  <c r="P99" i="8"/>
  <c r="P118" i="8"/>
  <c r="P12" i="8"/>
  <c r="P23" i="8"/>
  <c r="P57" i="8"/>
  <c r="P114" i="8"/>
  <c r="P33" i="8"/>
  <c r="P71" i="8"/>
  <c r="P78" i="8"/>
  <c r="P113" i="8"/>
  <c r="P115" i="8"/>
  <c r="P19" i="8"/>
  <c r="P87" i="8"/>
  <c r="P18" i="8"/>
  <c r="P116" i="8"/>
  <c r="P51" i="8"/>
  <c r="P16" i="8"/>
  <c r="P15" i="8"/>
  <c r="P110" i="8"/>
  <c r="P97" i="8"/>
  <c r="P50" i="8"/>
  <c r="P42" i="8"/>
  <c r="P66" i="8"/>
  <c r="P54" i="8"/>
  <c r="P63" i="8"/>
  <c r="P102" i="8"/>
  <c r="P22" i="8"/>
  <c r="P72" i="8"/>
  <c r="P47" i="8"/>
  <c r="P13" i="8"/>
  <c r="P107" i="8"/>
  <c r="P52" i="8"/>
  <c r="P34" i="8"/>
  <c r="P93" i="8"/>
  <c r="P86" i="8"/>
  <c r="P20" i="8"/>
  <c r="P98" i="8"/>
  <c r="P36" i="8"/>
  <c r="P31" i="8"/>
  <c r="P62" i="8"/>
  <c r="P112" i="8"/>
  <c r="P58" i="8"/>
  <c r="P35" i="8"/>
  <c r="P80" i="8"/>
  <c r="P28" i="8"/>
  <c r="P43" i="8"/>
  <c r="P37" i="8"/>
  <c r="P40" i="8"/>
  <c r="P29" i="8"/>
  <c r="V24" i="33"/>
  <c r="X2" i="12"/>
  <c r="U41" i="33"/>
  <c r="V36" i="33"/>
  <c r="V37" i="33"/>
  <c r="V21" i="33"/>
  <c r="N41" i="33"/>
  <c r="X3" i="33"/>
  <c r="X19" i="33"/>
  <c r="X14" i="33"/>
  <c r="X4" i="33"/>
  <c r="V32" i="33"/>
  <c r="V28" i="33"/>
  <c r="V15" i="33" s="1"/>
  <c r="W4" i="33"/>
  <c r="V29" i="33"/>
  <c r="V16" i="33" s="1"/>
  <c r="V20" i="33"/>
  <c r="W37" i="33" s="1"/>
  <c r="U42" i="33"/>
  <c r="N42" i="33"/>
  <c r="V33" i="33"/>
  <c r="W5" i="33"/>
  <c r="W8" i="33"/>
  <c r="Q55" i="8" l="1"/>
  <c r="Q65" i="8"/>
  <c r="Q41" i="8"/>
  <c r="Q102" i="8"/>
  <c r="Q118" i="8"/>
  <c r="Q96" i="8"/>
  <c r="Q111" i="8"/>
  <c r="Q107" i="8"/>
  <c r="Q105" i="8"/>
  <c r="Q38" i="8"/>
  <c r="Q21" i="8"/>
  <c r="Q90" i="8"/>
  <c r="Q88" i="8"/>
  <c r="Q98" i="8"/>
  <c r="Q15" i="8"/>
  <c r="Q86" i="8"/>
  <c r="Q52" i="8"/>
  <c r="Q103" i="8"/>
  <c r="Q18" i="8"/>
  <c r="Q48" i="8"/>
  <c r="Q54" i="8"/>
  <c r="Q70" i="8"/>
  <c r="Q91" i="8"/>
  <c r="Q99" i="8"/>
  <c r="Q62" i="8"/>
  <c r="Q23" i="8"/>
  <c r="Q113" i="8"/>
  <c r="Q61" i="8"/>
  <c r="Q108" i="8"/>
  <c r="Q89" i="8"/>
  <c r="Q97" i="8"/>
  <c r="Q104" i="8"/>
  <c r="Q39" i="8"/>
  <c r="Q32" i="8"/>
  <c r="Q87" i="8"/>
  <c r="Q92" i="8"/>
  <c r="Q17" i="8"/>
  <c r="Q101" i="8"/>
  <c r="Q66" i="8"/>
  <c r="Q34" i="8"/>
  <c r="Q85" i="8"/>
  <c r="Q77" i="8"/>
  <c r="Q20" i="8"/>
  <c r="Q51" i="8"/>
  <c r="Q79" i="8"/>
  <c r="Q19" i="8"/>
  <c r="Q44" i="8"/>
  <c r="Q112" i="8"/>
  <c r="Q22" i="8"/>
  <c r="Q69" i="8"/>
  <c r="Q45" i="8"/>
  <c r="Q43" i="8"/>
  <c r="Q25" i="8"/>
  <c r="Q57" i="8"/>
  <c r="Q53" i="8"/>
  <c r="Q28" i="8"/>
  <c r="Q50" i="8"/>
  <c r="Q117" i="8"/>
  <c r="Q72" i="8"/>
  <c r="Q83" i="8"/>
  <c r="Q78" i="8"/>
  <c r="Q42" i="8"/>
  <c r="Q11" i="8"/>
  <c r="Q10" i="8"/>
  <c r="Q27" i="8"/>
  <c r="Q110" i="8"/>
  <c r="Q40" i="8"/>
  <c r="Q95" i="8"/>
  <c r="Q46" i="8"/>
  <c r="Q93" i="8"/>
  <c r="Q100" i="8"/>
  <c r="Q82" i="8"/>
  <c r="Q37" i="8"/>
  <c r="Q56" i="8"/>
  <c r="Q30" i="8"/>
  <c r="Q26" i="8"/>
  <c r="Q47" i="8"/>
  <c r="Q33" i="8"/>
  <c r="Q12" i="8"/>
  <c r="Q60" i="8"/>
  <c r="Q116" i="8"/>
  <c r="Q73" i="8"/>
  <c r="Q75" i="8"/>
  <c r="Q13" i="8"/>
  <c r="Q64" i="8"/>
  <c r="Q58" i="8"/>
  <c r="Q63" i="8"/>
  <c r="Q71" i="8"/>
  <c r="Q114" i="8"/>
  <c r="Q76" i="8"/>
  <c r="Q80" i="8"/>
  <c r="Q35" i="8"/>
  <c r="Q16" i="8"/>
  <c r="Q84" i="8"/>
  <c r="Q68" i="8"/>
  <c r="Q31" i="8"/>
  <c r="Q115" i="8"/>
  <c r="Q106" i="8"/>
  <c r="Q29" i="8"/>
  <c r="Q94" i="8"/>
  <c r="Q109" i="8"/>
  <c r="Q59" i="8"/>
  <c r="Q36" i="8"/>
  <c r="Q14" i="8"/>
  <c r="Q49" i="8"/>
  <c r="Q24" i="8"/>
  <c r="Q81" i="8"/>
  <c r="Q67" i="8"/>
  <c r="Q74" i="8"/>
  <c r="R9" i="8"/>
  <c r="X8" i="33"/>
  <c r="W33" i="33"/>
  <c r="X7" i="33"/>
  <c r="W36" i="33"/>
  <c r="X5" i="33"/>
  <c r="V41" i="33"/>
  <c r="Y7" i="33"/>
  <c r="Y3" i="33"/>
  <c r="Y19" i="33"/>
  <c r="Y14" i="33"/>
  <c r="Y2" i="12"/>
  <c r="W24" i="33"/>
  <c r="V42" i="33"/>
  <c r="W29" i="33"/>
  <c r="W16" i="33" s="1"/>
  <c r="W25" i="33"/>
  <c r="W20" i="33"/>
  <c r="W21" i="33"/>
  <c r="X28" i="33" s="1"/>
  <c r="X15" i="33" s="1"/>
  <c r="W32" i="33"/>
  <c r="W28" i="33"/>
  <c r="W15" i="33" s="1"/>
  <c r="R63" i="8" l="1"/>
  <c r="R59" i="8"/>
  <c r="S9" i="8"/>
  <c r="R50" i="8"/>
  <c r="R104" i="8"/>
  <c r="R51" i="8"/>
  <c r="R36" i="8"/>
  <c r="R47" i="8"/>
  <c r="R99" i="8"/>
  <c r="R62" i="8"/>
  <c r="R66" i="8"/>
  <c r="R26" i="8"/>
  <c r="R71" i="8"/>
  <c r="R111" i="8"/>
  <c r="R73" i="8"/>
  <c r="R118" i="8"/>
  <c r="R53" i="8"/>
  <c r="R93" i="8"/>
  <c r="R49" i="8"/>
  <c r="R11" i="8"/>
  <c r="R19" i="8"/>
  <c r="R13" i="8"/>
  <c r="R70" i="8"/>
  <c r="R10" i="8"/>
  <c r="R46" i="8"/>
  <c r="R80" i="8"/>
  <c r="R55" i="8"/>
  <c r="R37" i="8"/>
  <c r="R98" i="8"/>
  <c r="R106" i="8"/>
  <c r="R83" i="8"/>
  <c r="R115" i="8"/>
  <c r="R112" i="8"/>
  <c r="R23" i="8"/>
  <c r="R54" i="8"/>
  <c r="R17" i="8"/>
  <c r="R67" i="8"/>
  <c r="R21" i="8"/>
  <c r="R78" i="8"/>
  <c r="R94" i="8"/>
  <c r="R27" i="8"/>
  <c r="R20" i="8"/>
  <c r="R29" i="8"/>
  <c r="R74" i="8"/>
  <c r="R72" i="8"/>
  <c r="R52" i="8"/>
  <c r="R14" i="8"/>
  <c r="R44" i="8"/>
  <c r="R42" i="8"/>
  <c r="R30" i="8"/>
  <c r="R58" i="8"/>
  <c r="R33" i="8"/>
  <c r="R16" i="8"/>
  <c r="R57" i="8"/>
  <c r="R15" i="8"/>
  <c r="R79" i="8"/>
  <c r="R91" i="8"/>
  <c r="R84" i="8"/>
  <c r="R28" i="8"/>
  <c r="R113" i="8"/>
  <c r="R96" i="8"/>
  <c r="R48" i="8"/>
  <c r="R39" i="8"/>
  <c r="R34" i="8"/>
  <c r="R95" i="8"/>
  <c r="R86" i="8"/>
  <c r="R114" i="8"/>
  <c r="R87" i="8"/>
  <c r="R101" i="8"/>
  <c r="R76" i="8"/>
  <c r="R24" i="8"/>
  <c r="R81" i="8"/>
  <c r="R102" i="8"/>
  <c r="R107" i="8"/>
  <c r="R88" i="8"/>
  <c r="R110" i="8"/>
  <c r="R116" i="8"/>
  <c r="R41" i="8"/>
  <c r="R82" i="8"/>
  <c r="R90" i="8"/>
  <c r="R117" i="8"/>
  <c r="R12" i="8"/>
  <c r="R108" i="8"/>
  <c r="R60" i="8"/>
  <c r="R22" i="8"/>
  <c r="R75" i="8"/>
  <c r="R100" i="8"/>
  <c r="R89" i="8"/>
  <c r="R109" i="8"/>
  <c r="R97" i="8"/>
  <c r="R43" i="8"/>
  <c r="R32" i="8"/>
  <c r="R61" i="8"/>
  <c r="R25" i="8"/>
  <c r="R105" i="8"/>
  <c r="R40" i="8"/>
  <c r="R18" i="8"/>
  <c r="R38" i="8"/>
  <c r="R35" i="8"/>
  <c r="R69" i="8"/>
  <c r="R45" i="8"/>
  <c r="R68" i="8"/>
  <c r="R92" i="8"/>
  <c r="R65" i="8"/>
  <c r="R31" i="8"/>
  <c r="R103" i="8"/>
  <c r="R64" i="8"/>
  <c r="R85" i="8"/>
  <c r="R77" i="8"/>
  <c r="R56" i="8"/>
  <c r="X25" i="33"/>
  <c r="X24" i="33"/>
  <c r="X29" i="33"/>
  <c r="X16" i="33" s="1"/>
  <c r="X41" i="33"/>
  <c r="X20" i="33"/>
  <c r="W42" i="33"/>
  <c r="Z7" i="33"/>
  <c r="Z2" i="12"/>
  <c r="X21" i="33"/>
  <c r="Y25" i="33" s="1"/>
  <c r="W41" i="33"/>
  <c r="Z3" i="33"/>
  <c r="Z19" i="33"/>
  <c r="Z14" i="33"/>
  <c r="X33" i="33"/>
  <c r="X37" i="33"/>
  <c r="X36" i="33"/>
  <c r="X32" i="33"/>
  <c r="Y8" i="33"/>
  <c r="Y5" i="33"/>
  <c r="Y4" i="33"/>
  <c r="S32" i="8" l="1"/>
  <c r="S106" i="8"/>
  <c r="S85" i="8"/>
  <c r="S116" i="8"/>
  <c r="S59" i="8"/>
  <c r="S19" i="8"/>
  <c r="S109" i="8"/>
  <c r="S74" i="8"/>
  <c r="S107" i="8"/>
  <c r="S100" i="8"/>
  <c r="S91" i="8"/>
  <c r="S50" i="8"/>
  <c r="S101" i="8"/>
  <c r="S71" i="8"/>
  <c r="S105" i="8"/>
  <c r="S57" i="8"/>
  <c r="S62" i="8"/>
  <c r="S28" i="8"/>
  <c r="S98" i="8"/>
  <c r="S43" i="8"/>
  <c r="S103" i="8"/>
  <c r="S64" i="8"/>
  <c r="S104" i="8"/>
  <c r="S61" i="8"/>
  <c r="S80" i="8"/>
  <c r="S95" i="8"/>
  <c r="S79" i="8"/>
  <c r="S108" i="8"/>
  <c r="S118" i="8"/>
  <c r="S77" i="8"/>
  <c r="S55" i="8"/>
  <c r="S14" i="8"/>
  <c r="S44" i="8"/>
  <c r="S115" i="8"/>
  <c r="S23" i="8"/>
  <c r="S45" i="8"/>
  <c r="S30" i="8"/>
  <c r="S99" i="8"/>
  <c r="S36" i="8"/>
  <c r="S16" i="8"/>
  <c r="S111" i="8"/>
  <c r="S10" i="8"/>
  <c r="S75" i="8"/>
  <c r="S81" i="8"/>
  <c r="S17" i="8"/>
  <c r="S63" i="8"/>
  <c r="S31" i="8"/>
  <c r="S39" i="8"/>
  <c r="S12" i="8"/>
  <c r="S66" i="8"/>
  <c r="S54" i="8"/>
  <c r="S33" i="8"/>
  <c r="S96" i="8"/>
  <c r="S21" i="8"/>
  <c r="S24" i="8"/>
  <c r="S89" i="8"/>
  <c r="S40" i="8"/>
  <c r="S112" i="8"/>
  <c r="S58" i="8"/>
  <c r="S84" i="8"/>
  <c r="S51" i="8"/>
  <c r="S37" i="8"/>
  <c r="S25" i="8"/>
  <c r="S22" i="8"/>
  <c r="S97" i="8"/>
  <c r="S65" i="8"/>
  <c r="S35" i="8"/>
  <c r="S87" i="8"/>
  <c r="S34" i="8"/>
  <c r="S47" i="8"/>
  <c r="S41" i="8"/>
  <c r="S56" i="8"/>
  <c r="S49" i="8"/>
  <c r="T9" i="8"/>
  <c r="S18" i="8"/>
  <c r="S70" i="8"/>
  <c r="S117" i="8"/>
  <c r="S69" i="8"/>
  <c r="S86" i="8"/>
  <c r="S93" i="8"/>
  <c r="S52" i="8"/>
  <c r="S110" i="8"/>
  <c r="S73" i="8"/>
  <c r="S42" i="8"/>
  <c r="S48" i="8"/>
  <c r="S27" i="8"/>
  <c r="S38" i="8"/>
  <c r="S67" i="8"/>
  <c r="S26" i="8"/>
  <c r="S88" i="8"/>
  <c r="S46" i="8"/>
  <c r="S15" i="8"/>
  <c r="S78" i="8"/>
  <c r="S13" i="8"/>
  <c r="S11" i="8"/>
  <c r="S113" i="8"/>
  <c r="S60" i="8"/>
  <c r="S114" i="8"/>
  <c r="S29" i="8"/>
  <c r="S82" i="8"/>
  <c r="S94" i="8"/>
  <c r="S72" i="8"/>
  <c r="S76" i="8"/>
  <c r="S20" i="8"/>
  <c r="S102" i="8"/>
  <c r="S53" i="8"/>
  <c r="S90" i="8"/>
  <c r="S83" i="8"/>
  <c r="S68" i="8"/>
  <c r="S92" i="8"/>
  <c r="X42" i="33"/>
  <c r="AA3" i="33"/>
  <c r="AA19" i="33"/>
  <c r="AA14" i="33"/>
  <c r="Y37" i="33"/>
  <c r="Y36" i="33"/>
  <c r="AA2" i="12"/>
  <c r="Y28" i="33"/>
  <c r="Y15" i="33" s="1"/>
  <c r="Y29" i="33"/>
  <c r="Y16" i="33" s="1"/>
  <c r="Y24" i="33"/>
  <c r="Y20" i="33"/>
  <c r="Z33" i="33" s="1"/>
  <c r="Y21" i="33"/>
  <c r="Z24" i="33" s="1"/>
  <c r="AA7" i="33"/>
  <c r="Y32" i="33"/>
  <c r="Z4" i="33"/>
  <c r="Y33" i="33"/>
  <c r="Z8" i="33"/>
  <c r="Z5" i="33"/>
  <c r="T105" i="8" l="1"/>
  <c r="T41" i="8"/>
  <c r="T80" i="8"/>
  <c r="T91" i="8"/>
  <c r="T43" i="8"/>
  <c r="T38" i="8"/>
  <c r="T61" i="8"/>
  <c r="T50" i="8"/>
  <c r="T95" i="8"/>
  <c r="T90" i="8"/>
  <c r="T48" i="8"/>
  <c r="T55" i="8"/>
  <c r="T106" i="8"/>
  <c r="T115" i="8"/>
  <c r="T75" i="8"/>
  <c r="T46" i="8"/>
  <c r="T26" i="8"/>
  <c r="T21" i="8"/>
  <c r="T42" i="8"/>
  <c r="T62" i="8"/>
  <c r="T13" i="8"/>
  <c r="T16" i="8"/>
  <c r="T114" i="8"/>
  <c r="T69" i="8"/>
  <c r="T20" i="8"/>
  <c r="T28" i="8"/>
  <c r="T34" i="8"/>
  <c r="T63" i="8"/>
  <c r="T111" i="8"/>
  <c r="T71" i="8"/>
  <c r="T17" i="8"/>
  <c r="T67" i="8"/>
  <c r="T33" i="8"/>
  <c r="T74" i="8"/>
  <c r="T53" i="8"/>
  <c r="T18" i="8"/>
  <c r="T79" i="8"/>
  <c r="T11" i="8"/>
  <c r="T82" i="8"/>
  <c r="T40" i="8"/>
  <c r="T100" i="8"/>
  <c r="T27" i="8"/>
  <c r="T97" i="8"/>
  <c r="T52" i="8"/>
  <c r="T51" i="8"/>
  <c r="T72" i="8"/>
  <c r="T36" i="8"/>
  <c r="T15" i="8"/>
  <c r="T109" i="8"/>
  <c r="T65" i="8"/>
  <c r="T112" i="8"/>
  <c r="T113" i="8"/>
  <c r="U9" i="8"/>
  <c r="T98" i="8"/>
  <c r="T35" i="8"/>
  <c r="T56" i="8"/>
  <c r="T117" i="8"/>
  <c r="T47" i="8"/>
  <c r="T39" i="8"/>
  <c r="T96" i="8"/>
  <c r="T12" i="8"/>
  <c r="T99" i="8"/>
  <c r="T88" i="8"/>
  <c r="T30" i="8"/>
  <c r="T83" i="8"/>
  <c r="T116" i="8"/>
  <c r="T107" i="8"/>
  <c r="T24" i="8"/>
  <c r="T94" i="8"/>
  <c r="T32" i="8"/>
  <c r="T101" i="8"/>
  <c r="T108" i="8"/>
  <c r="T25" i="8"/>
  <c r="T58" i="8"/>
  <c r="T37" i="8"/>
  <c r="T29" i="8"/>
  <c r="T57" i="8"/>
  <c r="T49" i="8"/>
  <c r="T19" i="8"/>
  <c r="T22" i="8"/>
  <c r="T77" i="8"/>
  <c r="T81" i="8"/>
  <c r="T60" i="8"/>
  <c r="T64" i="8"/>
  <c r="T45" i="8"/>
  <c r="T14" i="8"/>
  <c r="T44" i="8"/>
  <c r="T66" i="8"/>
  <c r="T86" i="8"/>
  <c r="T93" i="8"/>
  <c r="T84" i="8"/>
  <c r="T92" i="8"/>
  <c r="T104" i="8"/>
  <c r="T76" i="8"/>
  <c r="T110" i="8"/>
  <c r="T70" i="8"/>
  <c r="T89" i="8"/>
  <c r="T87" i="8"/>
  <c r="T10" i="8"/>
  <c r="T23" i="8"/>
  <c r="T54" i="8"/>
  <c r="T59" i="8"/>
  <c r="T73" i="8"/>
  <c r="T68" i="8"/>
  <c r="T103" i="8"/>
  <c r="T118" i="8"/>
  <c r="T102" i="8"/>
  <c r="T85" i="8"/>
  <c r="T31" i="8"/>
  <c r="T78" i="8"/>
  <c r="AA8" i="33"/>
  <c r="Z29" i="33"/>
  <c r="Z16" i="33" s="1"/>
  <c r="AA4" i="33"/>
  <c r="Z25" i="33"/>
  <c r="Z37" i="33"/>
  <c r="Z36" i="33"/>
  <c r="Y41" i="33"/>
  <c r="AB20" i="33"/>
  <c r="AB21" i="33"/>
  <c r="AB3" i="33"/>
  <c r="AB19" i="33"/>
  <c r="AB14" i="33"/>
  <c r="AB4" i="33"/>
  <c r="AB8" i="33"/>
  <c r="AB7" i="33"/>
  <c r="AB5" i="33"/>
  <c r="Z20" i="33"/>
  <c r="AA36" i="33" s="1"/>
  <c r="Y42" i="33"/>
  <c r="Z21" i="33"/>
  <c r="Z32" i="33"/>
  <c r="Z28" i="33"/>
  <c r="Z15" i="33" s="1"/>
  <c r="AA5" i="33"/>
  <c r="U11" i="8" l="1"/>
  <c r="U71" i="8"/>
  <c r="U38" i="8"/>
  <c r="U32" i="8"/>
  <c r="U111" i="8"/>
  <c r="U37" i="8"/>
  <c r="U21" i="8"/>
  <c r="U50" i="8"/>
  <c r="U49" i="8"/>
  <c r="U63" i="8"/>
  <c r="U78" i="8"/>
  <c r="U23" i="8"/>
  <c r="U25" i="8"/>
  <c r="U41" i="8"/>
  <c r="U104" i="8"/>
  <c r="U75" i="8"/>
  <c r="U54" i="8"/>
  <c r="U118" i="8"/>
  <c r="U70" i="8"/>
  <c r="U110" i="8"/>
  <c r="U112" i="8"/>
  <c r="U27" i="8"/>
  <c r="U19" i="8"/>
  <c r="U24" i="8"/>
  <c r="U62" i="8"/>
  <c r="U34" i="8"/>
  <c r="U60" i="8"/>
  <c r="U42" i="8"/>
  <c r="U97" i="8"/>
  <c r="U105" i="8"/>
  <c r="U87" i="8"/>
  <c r="U93" i="8"/>
  <c r="U53" i="8"/>
  <c r="U31" i="8"/>
  <c r="U68" i="8"/>
  <c r="U58" i="8"/>
  <c r="U33" i="8"/>
  <c r="U67" i="8"/>
  <c r="U52" i="8"/>
  <c r="U64" i="8"/>
  <c r="U59" i="8"/>
  <c r="U114" i="8"/>
  <c r="U100" i="8"/>
  <c r="U16" i="8"/>
  <c r="U108" i="8"/>
  <c r="U35" i="8"/>
  <c r="U26" i="8"/>
  <c r="U88" i="8"/>
  <c r="U96" i="8"/>
  <c r="U106" i="8"/>
  <c r="U86" i="8"/>
  <c r="U69" i="8"/>
  <c r="U92" i="8"/>
  <c r="U79" i="8"/>
  <c r="U89" i="8"/>
  <c r="U107" i="8"/>
  <c r="U82" i="8"/>
  <c r="U48" i="8"/>
  <c r="U76" i="8"/>
  <c r="U74" i="8"/>
  <c r="U47" i="8"/>
  <c r="U115" i="8"/>
  <c r="U28" i="8"/>
  <c r="U94" i="8"/>
  <c r="U91" i="8"/>
  <c r="U18" i="8"/>
  <c r="U14" i="8"/>
  <c r="U57" i="8"/>
  <c r="U85" i="8"/>
  <c r="U101" i="8"/>
  <c r="U61" i="8"/>
  <c r="U77" i="8"/>
  <c r="U56" i="8"/>
  <c r="U43" i="8"/>
  <c r="U51" i="8"/>
  <c r="U17" i="8"/>
  <c r="U29" i="8"/>
  <c r="U113" i="8"/>
  <c r="U84" i="8"/>
  <c r="U44" i="8"/>
  <c r="U22" i="8"/>
  <c r="U45" i="8"/>
  <c r="U99" i="8"/>
  <c r="U72" i="8"/>
  <c r="U73" i="8"/>
  <c r="U98" i="8"/>
  <c r="U20" i="8"/>
  <c r="U65" i="8"/>
  <c r="U117" i="8"/>
  <c r="U66" i="8"/>
  <c r="U40" i="8"/>
  <c r="U83" i="8"/>
  <c r="U39" i="8"/>
  <c r="U10" i="8"/>
  <c r="U36" i="8"/>
  <c r="U81" i="8"/>
  <c r="U80" i="8"/>
  <c r="U116" i="8"/>
  <c r="U90" i="8"/>
  <c r="U12" i="8"/>
  <c r="U95" i="8"/>
  <c r="U102" i="8"/>
  <c r="U13" i="8"/>
  <c r="U15" i="8"/>
  <c r="U55" i="8"/>
  <c r="U46" i="8"/>
  <c r="V9" i="8"/>
  <c r="U103" i="8"/>
  <c r="U109" i="8"/>
  <c r="U30" i="8"/>
  <c r="Z42" i="33"/>
  <c r="AA37" i="33"/>
  <c r="AA32" i="33"/>
  <c r="AA33" i="33"/>
  <c r="Z41" i="33"/>
  <c r="AA21" i="33"/>
  <c r="AC29" i="33" s="1"/>
  <c r="AB15" i="33"/>
  <c r="AB41" i="33" s="1"/>
  <c r="AB16" i="33"/>
  <c r="AB42" i="33" s="1"/>
  <c r="AA20" i="33"/>
  <c r="AA25" i="33"/>
  <c r="AA28" i="33"/>
  <c r="AA15" i="33" s="1"/>
  <c r="AA29" i="33"/>
  <c r="AA16" i="33" s="1"/>
  <c r="AA24" i="33"/>
  <c r="AC20" i="33"/>
  <c r="AC7" i="33"/>
  <c r="AC21" i="33"/>
  <c r="AC5" i="33"/>
  <c r="AC3" i="33"/>
  <c r="AC8" i="33"/>
  <c r="AC19" i="33"/>
  <c r="AC14" i="33"/>
  <c r="AC4" i="33"/>
  <c r="V35" i="8" l="1"/>
  <c r="V24" i="8"/>
  <c r="V41" i="8"/>
  <c r="V25" i="8"/>
  <c r="V69" i="8"/>
  <c r="V104" i="8"/>
  <c r="V23" i="8"/>
  <c r="V88" i="8"/>
  <c r="V64" i="8"/>
  <c r="V50" i="8"/>
  <c r="V36" i="8"/>
  <c r="V116" i="8"/>
  <c r="V86" i="8"/>
  <c r="V59" i="8"/>
  <c r="V39" i="8"/>
  <c r="V84" i="8"/>
  <c r="V61" i="8"/>
  <c r="V91" i="8"/>
  <c r="V113" i="8"/>
  <c r="V83" i="8"/>
  <c r="V100" i="8"/>
  <c r="V96" i="8"/>
  <c r="V87" i="8"/>
  <c r="V53" i="8"/>
  <c r="V14" i="8"/>
  <c r="V110" i="8"/>
  <c r="V106" i="8"/>
  <c r="V95" i="8"/>
  <c r="V99" i="8"/>
  <c r="V12" i="8"/>
  <c r="V73" i="8"/>
  <c r="V10" i="8"/>
  <c r="V103" i="8"/>
  <c r="V22" i="8"/>
  <c r="V33" i="8"/>
  <c r="V17" i="8"/>
  <c r="V85" i="8"/>
  <c r="V77" i="8"/>
  <c r="V92" i="8"/>
  <c r="V80" i="8"/>
  <c r="V60" i="8"/>
  <c r="V49" i="8"/>
  <c r="V52" i="8"/>
  <c r="V67" i="8"/>
  <c r="V90" i="8"/>
  <c r="V54" i="8"/>
  <c r="V44" i="8"/>
  <c r="V20" i="8"/>
  <c r="V42" i="8"/>
  <c r="V47" i="8"/>
  <c r="V26" i="8"/>
  <c r="V21" i="8"/>
  <c r="V19" i="8"/>
  <c r="V94" i="8"/>
  <c r="V75" i="8"/>
  <c r="V74" i="8"/>
  <c r="V38" i="8"/>
  <c r="V93" i="8"/>
  <c r="V56" i="8"/>
  <c r="V15" i="8"/>
  <c r="V82" i="8"/>
  <c r="V79" i="8"/>
  <c r="V16" i="8"/>
  <c r="V63" i="8"/>
  <c r="V118" i="8"/>
  <c r="V34" i="8"/>
  <c r="V48" i="8"/>
  <c r="W9" i="8"/>
  <c r="V57" i="8"/>
  <c r="V18" i="8"/>
  <c r="V30" i="8"/>
  <c r="V55" i="8"/>
  <c r="V107" i="8"/>
  <c r="V115" i="8"/>
  <c r="V31" i="8"/>
  <c r="V62" i="8"/>
  <c r="V117" i="8"/>
  <c r="V81" i="8"/>
  <c r="V13" i="8"/>
  <c r="V101" i="8"/>
  <c r="V27" i="8"/>
  <c r="V51" i="8"/>
  <c r="V89" i="8"/>
  <c r="V102" i="8"/>
  <c r="V46" i="8"/>
  <c r="V11" i="8"/>
  <c r="V37" i="8"/>
  <c r="V76" i="8"/>
  <c r="V58" i="8"/>
  <c r="V111" i="8"/>
  <c r="V97" i="8"/>
  <c r="V29" i="8"/>
  <c r="V71" i="8"/>
  <c r="V78" i="8"/>
  <c r="V45" i="8"/>
  <c r="V68" i="8"/>
  <c r="V112" i="8"/>
  <c r="V109" i="8"/>
  <c r="V43" i="8"/>
  <c r="V105" i="8"/>
  <c r="V72" i="8"/>
  <c r="V40" i="8"/>
  <c r="V108" i="8"/>
  <c r="V66" i="8"/>
  <c r="V65" i="8"/>
  <c r="V70" i="8"/>
  <c r="V32" i="8"/>
  <c r="V28" i="8"/>
  <c r="V114" i="8"/>
  <c r="V98" i="8"/>
  <c r="AD33" i="33"/>
  <c r="AC28" i="33"/>
  <c r="AD25" i="33"/>
  <c r="AC37" i="33"/>
  <c r="AD21" i="33"/>
  <c r="AD3" i="33"/>
  <c r="AD19" i="33"/>
  <c r="AD7" i="33"/>
  <c r="AD14" i="33"/>
  <c r="AD5" i="33"/>
  <c r="AD20" i="33"/>
  <c r="AE36" i="33" s="1"/>
  <c r="AD4" i="33"/>
  <c r="AD8" i="33"/>
  <c r="AA41" i="33"/>
  <c r="AD36" i="33"/>
  <c r="AD37" i="33"/>
  <c r="AD32" i="33"/>
  <c r="AB36" i="33"/>
  <c r="AB37" i="33"/>
  <c r="AD29" i="33"/>
  <c r="AC24" i="33"/>
  <c r="AB29" i="33"/>
  <c r="AC33" i="33"/>
  <c r="AB24" i="33"/>
  <c r="AC32" i="33"/>
  <c r="AA42" i="33"/>
  <c r="AC15" i="33"/>
  <c r="AC41" i="33" s="1"/>
  <c r="AC16" i="33"/>
  <c r="AC42" i="33" s="1"/>
  <c r="AD28" i="33"/>
  <c r="AB28" i="33"/>
  <c r="AC36" i="33"/>
  <c r="AB33" i="33"/>
  <c r="AC25" i="33"/>
  <c r="AB32" i="33"/>
  <c r="AB25" i="33"/>
  <c r="AD24" i="33"/>
  <c r="W13" i="8" l="1"/>
  <c r="W28" i="8"/>
  <c r="X9" i="8"/>
  <c r="W21" i="8"/>
  <c r="W57" i="8"/>
  <c r="W45" i="8"/>
  <c r="W24" i="8"/>
  <c r="W89" i="8"/>
  <c r="W117" i="8"/>
  <c r="W118" i="8"/>
  <c r="W22" i="8"/>
  <c r="W81" i="8"/>
  <c r="W40" i="8"/>
  <c r="W19" i="8"/>
  <c r="W23" i="8"/>
  <c r="W44" i="8"/>
  <c r="W116" i="8"/>
  <c r="W29" i="8"/>
  <c r="W43" i="8"/>
  <c r="W99" i="8"/>
  <c r="W27" i="8"/>
  <c r="W42" i="8"/>
  <c r="W104" i="8"/>
  <c r="W93" i="8"/>
  <c r="W55" i="8"/>
  <c r="W85" i="8"/>
  <c r="W112" i="8"/>
  <c r="W30" i="8"/>
  <c r="W32" i="8"/>
  <c r="W111" i="8"/>
  <c r="W107" i="8"/>
  <c r="W39" i="8"/>
  <c r="W106" i="8"/>
  <c r="W46" i="8"/>
  <c r="W77" i="8"/>
  <c r="W108" i="8"/>
  <c r="W50" i="8"/>
  <c r="W114" i="8"/>
  <c r="W95" i="8"/>
  <c r="W92" i="8"/>
  <c r="W100" i="8"/>
  <c r="W11" i="8"/>
  <c r="W87" i="8"/>
  <c r="W33" i="8"/>
  <c r="W86" i="8"/>
  <c r="W60" i="8"/>
  <c r="W47" i="8"/>
  <c r="W54" i="8"/>
  <c r="W17" i="8"/>
  <c r="W83" i="8"/>
  <c r="W75" i="8"/>
  <c r="W48" i="8"/>
  <c r="W49" i="8"/>
  <c r="W66" i="8"/>
  <c r="W10" i="8"/>
  <c r="W105" i="8"/>
  <c r="W90" i="8"/>
  <c r="W102" i="8"/>
  <c r="W59" i="8"/>
  <c r="W15" i="8"/>
  <c r="W26" i="8"/>
  <c r="W38" i="8"/>
  <c r="W18" i="8"/>
  <c r="W98" i="8"/>
  <c r="W94" i="8"/>
  <c r="W113" i="8"/>
  <c r="W103" i="8"/>
  <c r="W65" i="8"/>
  <c r="W53" i="8"/>
  <c r="W97" i="8"/>
  <c r="W64" i="8"/>
  <c r="W84" i="8"/>
  <c r="W82" i="8"/>
  <c r="W41" i="8"/>
  <c r="W74" i="8"/>
  <c r="W91" i="8"/>
  <c r="W72" i="8"/>
  <c r="W69" i="8"/>
  <c r="W31" i="8"/>
  <c r="W73" i="8"/>
  <c r="W68" i="8"/>
  <c r="W78" i="8"/>
  <c r="W62" i="8"/>
  <c r="W37" i="8"/>
  <c r="W20" i="8"/>
  <c r="W12" i="8"/>
  <c r="W36" i="8"/>
  <c r="W35" i="8"/>
  <c r="W115" i="8"/>
  <c r="W110" i="8"/>
  <c r="W51" i="8"/>
  <c r="W79" i="8"/>
  <c r="W67" i="8"/>
  <c r="W14" i="8"/>
  <c r="W76" i="8"/>
  <c r="W61" i="8"/>
  <c r="W34" i="8"/>
  <c r="W109" i="8"/>
  <c r="W25" i="8"/>
  <c r="W52" i="8"/>
  <c r="W16" i="8"/>
  <c r="W101" i="8"/>
  <c r="W80" i="8"/>
  <c r="W70" i="8"/>
  <c r="W58" i="8"/>
  <c r="W56" i="8"/>
  <c r="W88" i="8"/>
  <c r="W71" i="8"/>
  <c r="W63" i="8"/>
  <c r="W96" i="8"/>
  <c r="AD15" i="33"/>
  <c r="AD41" i="33" s="1"/>
  <c r="AD16" i="33"/>
  <c r="AD42" i="33" s="1"/>
  <c r="AE25" i="33"/>
  <c r="AE29" i="33"/>
  <c r="AE20" i="33"/>
  <c r="AF33" i="33" s="1"/>
  <c r="AE7" i="33"/>
  <c r="AE8" i="33"/>
  <c r="AE5" i="33"/>
  <c r="AE4" i="33"/>
  <c r="AE21" i="33"/>
  <c r="AF29" i="33" s="1"/>
  <c r="AE3" i="33"/>
  <c r="AE19" i="33"/>
  <c r="AE14" i="33"/>
  <c r="AE24" i="33"/>
  <c r="AE33" i="33"/>
  <c r="AE28" i="33"/>
  <c r="AE37" i="33"/>
  <c r="AE32" i="33"/>
  <c r="X90" i="8" l="1"/>
  <c r="X89" i="8"/>
  <c r="X25" i="8"/>
  <c r="X108" i="8"/>
  <c r="X21" i="8"/>
  <c r="X36" i="8"/>
  <c r="X82" i="8"/>
  <c r="X30" i="8"/>
  <c r="X102" i="8"/>
  <c r="X109" i="8"/>
  <c r="X107" i="8"/>
  <c r="X47" i="8"/>
  <c r="X106" i="8"/>
  <c r="X16" i="8"/>
  <c r="X72" i="8"/>
  <c r="X87" i="8"/>
  <c r="X74" i="8"/>
  <c r="X75" i="8"/>
  <c r="X37" i="8"/>
  <c r="X45" i="8"/>
  <c r="X91" i="8"/>
  <c r="X40" i="8"/>
  <c r="X53" i="8"/>
  <c r="X112" i="8"/>
  <c r="X19" i="8"/>
  <c r="X18" i="8"/>
  <c r="X44" i="8"/>
  <c r="X52" i="8"/>
  <c r="X34" i="8"/>
  <c r="X13" i="8"/>
  <c r="X17" i="8"/>
  <c r="X60" i="8"/>
  <c r="X29" i="8"/>
  <c r="X114" i="8"/>
  <c r="X56" i="8"/>
  <c r="X68" i="8"/>
  <c r="X83" i="8"/>
  <c r="X66" i="8"/>
  <c r="X73" i="8"/>
  <c r="X67" i="8"/>
  <c r="X22" i="8"/>
  <c r="X35" i="8"/>
  <c r="X81" i="8"/>
  <c r="X97" i="8"/>
  <c r="X116" i="8"/>
  <c r="X31" i="8"/>
  <c r="X51" i="8"/>
  <c r="X41" i="8"/>
  <c r="X71" i="8"/>
  <c r="X92" i="8"/>
  <c r="X77" i="8"/>
  <c r="X65" i="8"/>
  <c r="X23" i="8"/>
  <c r="X63" i="8"/>
  <c r="X113" i="8"/>
  <c r="X101" i="8"/>
  <c r="X54" i="8"/>
  <c r="X100" i="8"/>
  <c r="X78" i="8"/>
  <c r="X27" i="8"/>
  <c r="X69" i="8"/>
  <c r="X86" i="8"/>
  <c r="X33" i="8"/>
  <c r="X10" i="8"/>
  <c r="X32" i="8"/>
  <c r="X57" i="8"/>
  <c r="X103" i="8"/>
  <c r="X46" i="8"/>
  <c r="X11" i="8"/>
  <c r="X98" i="8"/>
  <c r="X49" i="8"/>
  <c r="X99" i="8"/>
  <c r="X58" i="8"/>
  <c r="X43" i="8"/>
  <c r="X15" i="8"/>
  <c r="X64" i="8"/>
  <c r="X95" i="8"/>
  <c r="X85" i="8"/>
  <c r="X20" i="8"/>
  <c r="X48" i="8"/>
  <c r="X110" i="8"/>
  <c r="X14" i="8"/>
  <c r="X24" i="8"/>
  <c r="X38" i="8"/>
  <c r="X26" i="8"/>
  <c r="X117" i="8"/>
  <c r="X42" i="8"/>
  <c r="X105" i="8"/>
  <c r="Y9" i="8"/>
  <c r="X79" i="8"/>
  <c r="X111" i="8"/>
  <c r="X39" i="8"/>
  <c r="X50" i="8"/>
  <c r="X84" i="8"/>
  <c r="X62" i="8"/>
  <c r="X88" i="8"/>
  <c r="X61" i="8"/>
  <c r="X12" i="8"/>
  <c r="X94" i="8"/>
  <c r="X104" i="8"/>
  <c r="X93" i="8"/>
  <c r="X115" i="8"/>
  <c r="X96" i="8"/>
  <c r="X118" i="8"/>
  <c r="X55" i="8"/>
  <c r="X70" i="8"/>
  <c r="X28" i="8"/>
  <c r="X76" i="8"/>
  <c r="X59" i="8"/>
  <c r="X80" i="8"/>
  <c r="AF24" i="33"/>
  <c r="AF25" i="33"/>
  <c r="AF28" i="33"/>
  <c r="AF36" i="33"/>
  <c r="AF37" i="33"/>
  <c r="AF32" i="33"/>
  <c r="AE15" i="33"/>
  <c r="AE41" i="33" s="1"/>
  <c r="AE16" i="33"/>
  <c r="AE42" i="33" s="1"/>
  <c r="AF4" i="33"/>
  <c r="AF7" i="33"/>
  <c r="AF21" i="33"/>
  <c r="AG29" i="33" s="1"/>
  <c r="AF8" i="33"/>
  <c r="AF3" i="33"/>
  <c r="AF5" i="33"/>
  <c r="AF19" i="33"/>
  <c r="AF14" i="33"/>
  <c r="AF20" i="33"/>
  <c r="Y81" i="8" l="1"/>
  <c r="Y111" i="8"/>
  <c r="Y101" i="8"/>
  <c r="Y116" i="8"/>
  <c r="Y88" i="8"/>
  <c r="Y115" i="8"/>
  <c r="Y29" i="8"/>
  <c r="Y63" i="8"/>
  <c r="Y59" i="8"/>
  <c r="Y57" i="8"/>
  <c r="Y85" i="8"/>
  <c r="Y75" i="8"/>
  <c r="Y109" i="8"/>
  <c r="Y86" i="8"/>
  <c r="Y113" i="8"/>
  <c r="Y78" i="8"/>
  <c r="Y114" i="8"/>
  <c r="Y41" i="8"/>
  <c r="Y97" i="8"/>
  <c r="Y105" i="8"/>
  <c r="Y20" i="8"/>
  <c r="Y43" i="8"/>
  <c r="Y96" i="8"/>
  <c r="Y60" i="8"/>
  <c r="Y38" i="8"/>
  <c r="Y112" i="8"/>
  <c r="Y26" i="8"/>
  <c r="Y69" i="8"/>
  <c r="Y25" i="8"/>
  <c r="Y94" i="8"/>
  <c r="Y10" i="8"/>
  <c r="Y27" i="8"/>
  <c r="Y95" i="8"/>
  <c r="Y100" i="8"/>
  <c r="Y44" i="8"/>
  <c r="Y18" i="8"/>
  <c r="Y80" i="8"/>
  <c r="Y117" i="8"/>
  <c r="Y54" i="8"/>
  <c r="Y91" i="8"/>
  <c r="Y74" i="8"/>
  <c r="Y22" i="8"/>
  <c r="Y28" i="8"/>
  <c r="Y82" i="8"/>
  <c r="Y92" i="8"/>
  <c r="Y66" i="8"/>
  <c r="Y79" i="8"/>
  <c r="Y98" i="8"/>
  <c r="Y110" i="8"/>
  <c r="Y61" i="8"/>
  <c r="Y64" i="8"/>
  <c r="Y14" i="8"/>
  <c r="Y67" i="8"/>
  <c r="Y93" i="8"/>
  <c r="Y17" i="8"/>
  <c r="Y16" i="8"/>
  <c r="Y108" i="8"/>
  <c r="Y56" i="8"/>
  <c r="Y58" i="8"/>
  <c r="Y104" i="8"/>
  <c r="Y32" i="8"/>
  <c r="Y103" i="8"/>
  <c r="Y42" i="8"/>
  <c r="Y50" i="8"/>
  <c r="Y39" i="8"/>
  <c r="Y89" i="8"/>
  <c r="Y102" i="8"/>
  <c r="Y65" i="8"/>
  <c r="Y84" i="8"/>
  <c r="Y62" i="8"/>
  <c r="Y11" i="8"/>
  <c r="Y33" i="8"/>
  <c r="Y73" i="8"/>
  <c r="Y40" i="8"/>
  <c r="Y106" i="8"/>
  <c r="Y107" i="8"/>
  <c r="Y30" i="8"/>
  <c r="Y12" i="8"/>
  <c r="Y83" i="8"/>
  <c r="Y13" i="8"/>
  <c r="Y87" i="8"/>
  <c r="Y90" i="8"/>
  <c r="Y68" i="8"/>
  <c r="Y49" i="8"/>
  <c r="Y36" i="8"/>
  <c r="Y52" i="8"/>
  <c r="Y19" i="8"/>
  <c r="Y46" i="8"/>
  <c r="Y48" i="8"/>
  <c r="Y47" i="8"/>
  <c r="Y23" i="8"/>
  <c r="Y15" i="8"/>
  <c r="Y45" i="8"/>
  <c r="Y37" i="8"/>
  <c r="Y72" i="8"/>
  <c r="Y35" i="8"/>
  <c r="Y71" i="8"/>
  <c r="Z9" i="8"/>
  <c r="Y34" i="8"/>
  <c r="Y53" i="8"/>
  <c r="Y31" i="8"/>
  <c r="Y76" i="8"/>
  <c r="Y21" i="8"/>
  <c r="Y51" i="8"/>
  <c r="Y99" i="8"/>
  <c r="Y70" i="8"/>
  <c r="Y118" i="8"/>
  <c r="Y55" i="8"/>
  <c r="Y24" i="8"/>
  <c r="Y77" i="8"/>
  <c r="AG28" i="33"/>
  <c r="AG33" i="33"/>
  <c r="AG32" i="33"/>
  <c r="AG36" i="33"/>
  <c r="AG20" i="33"/>
  <c r="AH37" i="33" s="1"/>
  <c r="AG4" i="33"/>
  <c r="AG8" i="33"/>
  <c r="AG5" i="33"/>
  <c r="AG21" i="33"/>
  <c r="AH28" i="33" s="1"/>
  <c r="AG3" i="33"/>
  <c r="AG19" i="33"/>
  <c r="AG14" i="33"/>
  <c r="AG7" i="33"/>
  <c r="AF16" i="33"/>
  <c r="AF42" i="33" s="1"/>
  <c r="AF15" i="33"/>
  <c r="AF41" i="33" s="1"/>
  <c r="AG25" i="33"/>
  <c r="AG24" i="33"/>
  <c r="AG37" i="33"/>
  <c r="Z10" i="8" l="1"/>
  <c r="Z33" i="8"/>
  <c r="Z38" i="8"/>
  <c r="Z61" i="8"/>
  <c r="Z40" i="8"/>
  <c r="Z89" i="8"/>
  <c r="Z81" i="8"/>
  <c r="Z47" i="8"/>
  <c r="Z85" i="8"/>
  <c r="Z23" i="8"/>
  <c r="Z16" i="8"/>
  <c r="Z19" i="8"/>
  <c r="Z76" i="8"/>
  <c r="Z17" i="8"/>
  <c r="Z35" i="8"/>
  <c r="Z78" i="8"/>
  <c r="Z11" i="8"/>
  <c r="Z116" i="8"/>
  <c r="Z46" i="8"/>
  <c r="Z14" i="8"/>
  <c r="Z114" i="8"/>
  <c r="Z62" i="8"/>
  <c r="Z66" i="8"/>
  <c r="Z43" i="8"/>
  <c r="Z117" i="8"/>
  <c r="Z67" i="8"/>
  <c r="Z20" i="8"/>
  <c r="Z68" i="8"/>
  <c r="Z30" i="8"/>
  <c r="Z27" i="8"/>
  <c r="Z79" i="8"/>
  <c r="Z49" i="8"/>
  <c r="Z82" i="8"/>
  <c r="Z90" i="8"/>
  <c r="Z54" i="8"/>
  <c r="Z15" i="8"/>
  <c r="Z44" i="8"/>
  <c r="Z60" i="8"/>
  <c r="Z26" i="8"/>
  <c r="Z48" i="8"/>
  <c r="Z87" i="8"/>
  <c r="Z28" i="8"/>
  <c r="Z25" i="8"/>
  <c r="Z100" i="8"/>
  <c r="Z110" i="8"/>
  <c r="Z24" i="8"/>
  <c r="Z45" i="8"/>
  <c r="Z70" i="8"/>
  <c r="AA9" i="8"/>
  <c r="Z113" i="8"/>
  <c r="Z65" i="8"/>
  <c r="Z41" i="8"/>
  <c r="Z32" i="8"/>
  <c r="Z31" i="8"/>
  <c r="Z21" i="8"/>
  <c r="Z109" i="8"/>
  <c r="Z63" i="8"/>
  <c r="Z22" i="8"/>
  <c r="Z39" i="8"/>
  <c r="Z71" i="8"/>
  <c r="Z118" i="8"/>
  <c r="Z112" i="8"/>
  <c r="Z98" i="8"/>
  <c r="Z115" i="8"/>
  <c r="Z83" i="8"/>
  <c r="Z64" i="8"/>
  <c r="Z42" i="8"/>
  <c r="Z97" i="8"/>
  <c r="Z92" i="8"/>
  <c r="Z13" i="8"/>
  <c r="Z88" i="8"/>
  <c r="Z93" i="8"/>
  <c r="Z111" i="8"/>
  <c r="Z36" i="8"/>
  <c r="Z108" i="8"/>
  <c r="Z12" i="8"/>
  <c r="Z74" i="8"/>
  <c r="Z57" i="8"/>
  <c r="Z84" i="8"/>
  <c r="Z34" i="8"/>
  <c r="Z55" i="8"/>
  <c r="Z95" i="8"/>
  <c r="Z77" i="8"/>
  <c r="Z72" i="8"/>
  <c r="Z69" i="8"/>
  <c r="Z56" i="8"/>
  <c r="Z29" i="8"/>
  <c r="Z104" i="8"/>
  <c r="Z103" i="8"/>
  <c r="Z105" i="8"/>
  <c r="Z99" i="8"/>
  <c r="Z102" i="8"/>
  <c r="Z59" i="8"/>
  <c r="Z91" i="8"/>
  <c r="Z80" i="8"/>
  <c r="Z53" i="8"/>
  <c r="Z75" i="8"/>
  <c r="Z86" i="8"/>
  <c r="Z106" i="8"/>
  <c r="Z18" i="8"/>
  <c r="Z107" i="8"/>
  <c r="Z96" i="8"/>
  <c r="Z101" i="8"/>
  <c r="Z37" i="8"/>
  <c r="Z58" i="8"/>
  <c r="Z50" i="8"/>
  <c r="Z73" i="8"/>
  <c r="Z52" i="8"/>
  <c r="Z94" i="8"/>
  <c r="Z51" i="8"/>
  <c r="AH24" i="33"/>
  <c r="AH36" i="33"/>
  <c r="AH25" i="33"/>
  <c r="AH29" i="33"/>
  <c r="AH8" i="33"/>
  <c r="AH20" i="33"/>
  <c r="AH5" i="33"/>
  <c r="AH21" i="33"/>
  <c r="AI25" i="33" s="1"/>
  <c r="AH3" i="33"/>
  <c r="AH4" i="33"/>
  <c r="AH19" i="33"/>
  <c r="AH14" i="33"/>
  <c r="AH7" i="33"/>
  <c r="AG16" i="33"/>
  <c r="AG42" i="33" s="1"/>
  <c r="AG15" i="33"/>
  <c r="AG41" i="33" s="1"/>
  <c r="AH33" i="33"/>
  <c r="AH32" i="33"/>
  <c r="AA25" i="8" l="1"/>
  <c r="AA53" i="8"/>
  <c r="AA114" i="8"/>
  <c r="AA63" i="8"/>
  <c r="AA32" i="8"/>
  <c r="AA111" i="8"/>
  <c r="AA38" i="8"/>
  <c r="AA101" i="8"/>
  <c r="AA87" i="8"/>
  <c r="AA23" i="8"/>
  <c r="AA19" i="8"/>
  <c r="AA105" i="8"/>
  <c r="AA55" i="8"/>
  <c r="AA40" i="8"/>
  <c r="AA68" i="8"/>
  <c r="AA26" i="8"/>
  <c r="AA91" i="8"/>
  <c r="AA73" i="8"/>
  <c r="AA104" i="8"/>
  <c r="AA42" i="8"/>
  <c r="AA50" i="8"/>
  <c r="AA95" i="8"/>
  <c r="AA44" i="8"/>
  <c r="AA67" i="8"/>
  <c r="AA106" i="8"/>
  <c r="AA76" i="8"/>
  <c r="AA16" i="8"/>
  <c r="AA57" i="8"/>
  <c r="AA65" i="8"/>
  <c r="AA118" i="8"/>
  <c r="AA92" i="8"/>
  <c r="AA41" i="8"/>
  <c r="AA83" i="8"/>
  <c r="AA116" i="8"/>
  <c r="AA29" i="8"/>
  <c r="AA61" i="8"/>
  <c r="AA88" i="8"/>
  <c r="AB9" i="8"/>
  <c r="AA75" i="8"/>
  <c r="AA74" i="8"/>
  <c r="AA33" i="8"/>
  <c r="AA27" i="8"/>
  <c r="AA117" i="8"/>
  <c r="AA59" i="8"/>
  <c r="AA60" i="8"/>
  <c r="AA72" i="8"/>
  <c r="AA56" i="8"/>
  <c r="AA102" i="8"/>
  <c r="AA45" i="8"/>
  <c r="AA84" i="8"/>
  <c r="AA51" i="8"/>
  <c r="AA54" i="8"/>
  <c r="AA15" i="8"/>
  <c r="AA30" i="8"/>
  <c r="AA93" i="8"/>
  <c r="AA58" i="8"/>
  <c r="AA36" i="8"/>
  <c r="AA108" i="8"/>
  <c r="AA103" i="8"/>
  <c r="AA90" i="8"/>
  <c r="AA110" i="8"/>
  <c r="AA18" i="8"/>
  <c r="AA64" i="8"/>
  <c r="AA34" i="8"/>
  <c r="AA86" i="8"/>
  <c r="AA13" i="8"/>
  <c r="AA17" i="8"/>
  <c r="AA35" i="8"/>
  <c r="AA11" i="8"/>
  <c r="AA94" i="8"/>
  <c r="AA98" i="8"/>
  <c r="AA37" i="8"/>
  <c r="AA12" i="8"/>
  <c r="AA14" i="8"/>
  <c r="AA62" i="8"/>
  <c r="AA48" i="8"/>
  <c r="AA49" i="8"/>
  <c r="AA43" i="8"/>
  <c r="AA46" i="8"/>
  <c r="AA28" i="8"/>
  <c r="AA39" i="8"/>
  <c r="AA10" i="8"/>
  <c r="AA82" i="8"/>
  <c r="AA109" i="8"/>
  <c r="AA96" i="8"/>
  <c r="AA71" i="8"/>
  <c r="AA100" i="8"/>
  <c r="AA112" i="8"/>
  <c r="AA21" i="8"/>
  <c r="AA31" i="8"/>
  <c r="AA80" i="8"/>
  <c r="AA24" i="8"/>
  <c r="AA97" i="8"/>
  <c r="AA115" i="8"/>
  <c r="AA78" i="8"/>
  <c r="AA47" i="8"/>
  <c r="AA69" i="8"/>
  <c r="AA79" i="8"/>
  <c r="AA99" i="8"/>
  <c r="AA52" i="8"/>
  <c r="AA85" i="8"/>
  <c r="AA66" i="8"/>
  <c r="AA22" i="8"/>
  <c r="AA77" i="8"/>
  <c r="AA89" i="8"/>
  <c r="AA81" i="8"/>
  <c r="AA70" i="8"/>
  <c r="AA20" i="8"/>
  <c r="AA113" i="8"/>
  <c r="AA107" i="8"/>
  <c r="AI24" i="33"/>
  <c r="AI29" i="33"/>
  <c r="AI28" i="33"/>
  <c r="AH15" i="33"/>
  <c r="AH41" i="33" s="1"/>
  <c r="AH16" i="33"/>
  <c r="AH42" i="33" s="1"/>
  <c r="AI14" i="33"/>
  <c r="AI8" i="33"/>
  <c r="AI7" i="33"/>
  <c r="AI20" i="33"/>
  <c r="AI21" i="33"/>
  <c r="AJ24" i="33" s="1"/>
  <c r="AI4" i="33"/>
  <c r="AI3" i="33"/>
  <c r="AI19" i="33"/>
  <c r="AI5" i="33"/>
  <c r="AI36" i="33"/>
  <c r="AI32" i="33"/>
  <c r="AI37" i="33"/>
  <c r="AI33" i="33"/>
  <c r="AB79" i="8" l="1"/>
  <c r="AB68" i="8"/>
  <c r="AB10" i="8"/>
  <c r="AB52" i="8"/>
  <c r="AB23" i="8"/>
  <c r="AB91" i="8"/>
  <c r="AB61" i="8"/>
  <c r="AB90" i="8"/>
  <c r="AB43" i="8"/>
  <c r="AB69" i="8"/>
  <c r="AB27" i="8"/>
  <c r="AB112" i="8"/>
  <c r="AB18" i="8"/>
  <c r="AB63" i="8"/>
  <c r="AB106" i="8"/>
  <c r="AC9" i="8"/>
  <c r="AB55" i="8"/>
  <c r="AB70" i="8"/>
  <c r="AB110" i="8"/>
  <c r="AB118" i="8"/>
  <c r="AB48" i="8"/>
  <c r="AB32" i="8"/>
  <c r="AB53" i="8"/>
  <c r="AB103" i="8"/>
  <c r="AB82" i="8"/>
  <c r="AB111" i="8"/>
  <c r="AB113" i="8"/>
  <c r="AB39" i="8"/>
  <c r="AB20" i="8"/>
  <c r="AB25" i="8"/>
  <c r="AB81" i="8"/>
  <c r="AB31" i="8"/>
  <c r="AB99" i="8"/>
  <c r="AB109" i="8"/>
  <c r="AB97" i="8"/>
  <c r="AB45" i="8"/>
  <c r="AB92" i="8"/>
  <c r="AB50" i="8"/>
  <c r="AB96" i="8"/>
  <c r="AB108" i="8"/>
  <c r="AB15" i="8"/>
  <c r="AB65" i="8"/>
  <c r="AB21" i="8"/>
  <c r="AB49" i="8"/>
  <c r="AB114" i="8"/>
  <c r="AB22" i="8"/>
  <c r="AB17" i="8"/>
  <c r="AB100" i="8"/>
  <c r="AB67" i="8"/>
  <c r="AB75" i="8"/>
  <c r="AB36" i="8"/>
  <c r="AB104" i="8"/>
  <c r="AB87" i="8"/>
  <c r="AB98" i="8"/>
  <c r="AB66" i="8"/>
  <c r="AB89" i="8"/>
  <c r="AB101" i="8"/>
  <c r="AB57" i="8"/>
  <c r="AB37" i="8"/>
  <c r="AB115" i="8"/>
  <c r="AB28" i="8"/>
  <c r="AB46" i="8"/>
  <c r="AB13" i="8"/>
  <c r="AB29" i="8"/>
  <c r="AB86" i="8"/>
  <c r="AB60" i="8"/>
  <c r="AB71" i="8"/>
  <c r="AB16" i="8"/>
  <c r="AB84" i="8"/>
  <c r="AB44" i="8"/>
  <c r="AB47" i="8"/>
  <c r="AB12" i="8"/>
  <c r="AB24" i="8"/>
  <c r="AB72" i="8"/>
  <c r="AB85" i="8"/>
  <c r="AB33" i="8"/>
  <c r="AB42" i="8"/>
  <c r="AB40" i="8"/>
  <c r="AB11" i="8"/>
  <c r="AB19" i="8"/>
  <c r="AB38" i="8"/>
  <c r="AB54" i="8"/>
  <c r="AB94" i="8"/>
  <c r="AB64" i="8"/>
  <c r="AB107" i="8"/>
  <c r="AB26" i="8"/>
  <c r="AB116" i="8"/>
  <c r="AB83" i="8"/>
  <c r="AB80" i="8"/>
  <c r="AB14" i="8"/>
  <c r="AB102" i="8"/>
  <c r="AB62" i="8"/>
  <c r="AB74" i="8"/>
  <c r="AB117" i="8"/>
  <c r="AB93" i="8"/>
  <c r="AB56" i="8"/>
  <c r="AB76" i="8"/>
  <c r="AB30" i="8"/>
  <c r="AB59" i="8"/>
  <c r="AB95" i="8"/>
  <c r="AB41" i="8"/>
  <c r="AB51" i="8"/>
  <c r="AB77" i="8"/>
  <c r="AB35" i="8"/>
  <c r="AB88" i="8"/>
  <c r="AB58" i="8"/>
  <c r="AB34" i="8"/>
  <c r="AB78" i="8"/>
  <c r="AB105" i="8"/>
  <c r="AB73" i="8"/>
  <c r="AJ25" i="33"/>
  <c r="AJ29" i="33"/>
  <c r="AJ28" i="33"/>
  <c r="AJ32" i="33"/>
  <c r="AJ36" i="33"/>
  <c r="AJ37" i="33"/>
  <c r="AJ33" i="33"/>
  <c r="AI15" i="33"/>
  <c r="AI41" i="33" s="1"/>
  <c r="AI16" i="33"/>
  <c r="AI42" i="33" s="1"/>
  <c r="AJ21" i="33"/>
  <c r="AK25" i="33" s="1"/>
  <c r="AJ7" i="33"/>
  <c r="AJ3" i="33"/>
  <c r="AJ19" i="33"/>
  <c r="AJ5" i="33"/>
  <c r="AJ14" i="33"/>
  <c r="AJ4" i="33"/>
  <c r="AJ8" i="33"/>
  <c r="AJ20" i="33"/>
  <c r="AK36" i="33" s="1"/>
  <c r="AC35" i="8" l="1"/>
  <c r="AC73" i="8"/>
  <c r="AC37" i="8"/>
  <c r="AC77" i="8"/>
  <c r="AC10" i="8"/>
  <c r="AC46" i="8"/>
  <c r="AC96" i="8"/>
  <c r="AC63" i="8"/>
  <c r="AC29" i="8"/>
  <c r="AC101" i="8"/>
  <c r="AC24" i="8"/>
  <c r="AC66" i="8"/>
  <c r="AC110" i="8"/>
  <c r="AC32" i="8"/>
  <c r="AC88" i="8"/>
  <c r="AC21" i="8"/>
  <c r="AC11" i="8"/>
  <c r="AC75" i="8"/>
  <c r="AC69" i="8"/>
  <c r="AC99" i="8"/>
  <c r="AC22" i="8"/>
  <c r="AC27" i="8"/>
  <c r="AC40" i="8"/>
  <c r="AC82" i="8"/>
  <c r="AC18" i="8"/>
  <c r="AC62" i="8"/>
  <c r="AC44" i="8"/>
  <c r="AC93" i="8"/>
  <c r="AC30" i="8"/>
  <c r="AC36" i="8"/>
  <c r="AC70" i="8"/>
  <c r="AC90" i="8"/>
  <c r="AC103" i="8"/>
  <c r="AC15" i="8"/>
  <c r="AC95" i="8"/>
  <c r="AC114" i="8"/>
  <c r="AC31" i="8"/>
  <c r="AC50" i="8"/>
  <c r="AC72" i="8"/>
  <c r="AC26" i="8"/>
  <c r="AC100" i="8"/>
  <c r="AD9" i="8"/>
  <c r="AC47" i="8"/>
  <c r="AC65" i="8"/>
  <c r="AC71" i="8"/>
  <c r="AC111" i="8"/>
  <c r="AC115" i="8"/>
  <c r="AC104" i="8"/>
  <c r="AC86" i="8"/>
  <c r="AC74" i="8"/>
  <c r="AC45" i="8"/>
  <c r="AC118" i="8"/>
  <c r="AC49" i="8"/>
  <c r="AC61" i="8"/>
  <c r="AC80" i="8"/>
  <c r="AC85" i="8"/>
  <c r="AC116" i="8"/>
  <c r="AC14" i="8"/>
  <c r="AC28" i="8"/>
  <c r="AC42" i="8"/>
  <c r="AC113" i="8"/>
  <c r="AC84" i="8"/>
  <c r="AC87" i="8"/>
  <c r="AC64" i="8"/>
  <c r="AC57" i="8"/>
  <c r="AC16" i="8"/>
  <c r="AC41" i="8"/>
  <c r="AC33" i="8"/>
  <c r="AC39" i="8"/>
  <c r="AC58" i="8"/>
  <c r="AC60" i="8"/>
  <c r="AC91" i="8"/>
  <c r="AC51" i="8"/>
  <c r="AC55" i="8"/>
  <c r="AC102" i="8"/>
  <c r="AC13" i="8"/>
  <c r="AC98" i="8"/>
  <c r="AC81" i="8"/>
  <c r="AC79" i="8"/>
  <c r="AC20" i="8"/>
  <c r="AC105" i="8"/>
  <c r="AC92" i="8"/>
  <c r="AC108" i="8"/>
  <c r="AC107" i="8"/>
  <c r="AC106" i="8"/>
  <c r="AC67" i="8"/>
  <c r="AC94" i="8"/>
  <c r="AC112" i="8"/>
  <c r="AC43" i="8"/>
  <c r="AC17" i="8"/>
  <c r="AC54" i="8"/>
  <c r="AC117" i="8"/>
  <c r="AC38" i="8"/>
  <c r="AC76" i="8"/>
  <c r="AC48" i="8"/>
  <c r="AC53" i="8"/>
  <c r="AC19" i="8"/>
  <c r="AC52" i="8"/>
  <c r="AC83" i="8"/>
  <c r="AC34" i="8"/>
  <c r="AC97" i="8"/>
  <c r="AC89" i="8"/>
  <c r="AC109" i="8"/>
  <c r="AC23" i="8"/>
  <c r="AC56" i="8"/>
  <c r="AC12" i="8"/>
  <c r="AC25" i="8"/>
  <c r="AC78" i="8"/>
  <c r="AC68" i="8"/>
  <c r="AC59" i="8"/>
  <c r="AK28" i="33"/>
  <c r="AK37" i="33"/>
  <c r="AK32" i="33"/>
  <c r="AJ15" i="33"/>
  <c r="AJ41" i="33" s="1"/>
  <c r="AJ16" i="33"/>
  <c r="AJ42" i="33" s="1"/>
  <c r="AK24" i="33"/>
  <c r="AK4" i="33"/>
  <c r="AK3" i="33"/>
  <c r="AK19" i="33"/>
  <c r="AK14" i="33"/>
  <c r="AK8" i="33"/>
  <c r="AK7" i="33"/>
  <c r="AK20" i="33"/>
  <c r="AK21" i="33"/>
  <c r="AL29" i="33" s="1"/>
  <c r="AK5" i="33"/>
  <c r="AK33" i="33"/>
  <c r="AK29" i="33"/>
  <c r="AD92" i="8" l="1"/>
  <c r="AD115" i="8"/>
  <c r="AD31" i="8"/>
  <c r="AD65" i="8"/>
  <c r="AD82" i="8"/>
  <c r="AD21" i="8"/>
  <c r="AD97" i="8"/>
  <c r="AD104" i="8"/>
  <c r="AD93" i="8"/>
  <c r="AD99" i="8"/>
  <c r="AD101" i="8"/>
  <c r="AD36" i="8"/>
  <c r="AD44" i="8"/>
  <c r="AD57" i="8"/>
  <c r="AD12" i="8"/>
  <c r="AD73" i="8"/>
  <c r="AD62" i="8"/>
  <c r="AD39" i="8"/>
  <c r="AD98" i="8"/>
  <c r="AD41" i="8"/>
  <c r="AD110" i="8"/>
  <c r="AD26" i="8"/>
  <c r="AD103" i="8"/>
  <c r="AD118" i="8"/>
  <c r="AD51" i="8"/>
  <c r="AD95" i="8"/>
  <c r="AD56" i="8"/>
  <c r="AD112" i="8"/>
  <c r="AD85" i="8"/>
  <c r="AD20" i="8"/>
  <c r="AD71" i="8"/>
  <c r="AD60" i="8"/>
  <c r="AD15" i="8"/>
  <c r="AD72" i="8"/>
  <c r="AD19" i="8"/>
  <c r="AD77" i="8"/>
  <c r="AD105" i="8"/>
  <c r="AD53" i="8"/>
  <c r="AD22" i="8"/>
  <c r="AD75" i="8"/>
  <c r="AD68" i="8"/>
  <c r="AD67" i="8"/>
  <c r="AD109" i="8"/>
  <c r="AD29" i="8"/>
  <c r="AD66" i="8"/>
  <c r="AD17" i="8"/>
  <c r="AD34" i="8"/>
  <c r="AD28" i="8"/>
  <c r="AD27" i="8"/>
  <c r="AD80" i="8"/>
  <c r="AD14" i="8"/>
  <c r="AD117" i="8"/>
  <c r="AD16" i="8"/>
  <c r="AD70" i="8"/>
  <c r="AD18" i="8"/>
  <c r="AD84" i="8"/>
  <c r="AD52" i="8"/>
  <c r="AD49" i="8"/>
  <c r="AD69" i="8"/>
  <c r="AD74" i="8"/>
  <c r="AD113" i="8"/>
  <c r="AD89" i="8"/>
  <c r="AD106" i="8"/>
  <c r="AD64" i="8"/>
  <c r="AD83" i="8"/>
  <c r="AD86" i="8"/>
  <c r="AD100" i="8"/>
  <c r="AD38" i="8"/>
  <c r="AD87" i="8"/>
  <c r="AD78" i="8"/>
  <c r="AD54" i="8"/>
  <c r="AD50" i="8"/>
  <c r="AD35" i="8"/>
  <c r="AD46" i="8"/>
  <c r="AD47" i="8"/>
  <c r="AD81" i="8"/>
  <c r="AD91" i="8"/>
  <c r="AD90" i="8"/>
  <c r="AD30" i="8"/>
  <c r="AD96" i="8"/>
  <c r="AD45" i="8"/>
  <c r="AD88" i="8"/>
  <c r="AD43" i="8"/>
  <c r="AD63" i="8"/>
  <c r="AD24" i="8"/>
  <c r="AD33" i="8"/>
  <c r="AD102" i="8"/>
  <c r="AD13" i="8"/>
  <c r="AD59" i="8"/>
  <c r="AD42" i="8"/>
  <c r="AD61" i="8"/>
  <c r="AD79" i="8"/>
  <c r="AD37" i="8"/>
  <c r="AD25" i="8"/>
  <c r="AD40" i="8"/>
  <c r="AD108" i="8"/>
  <c r="AD114" i="8"/>
  <c r="AD111" i="8"/>
  <c r="AD116" i="8"/>
  <c r="AD58" i="8"/>
  <c r="AD94" i="8"/>
  <c r="AD107" i="8"/>
  <c r="AD23" i="8"/>
  <c r="AD32" i="8"/>
  <c r="AE9" i="8"/>
  <c r="AD48" i="8"/>
  <c r="AD10" i="8"/>
  <c r="AD76" i="8"/>
  <c r="AD55" i="8"/>
  <c r="AD11" i="8"/>
  <c r="AL19" i="33"/>
  <c r="AL14" i="33"/>
  <c r="AL20" i="33"/>
  <c r="AM33" i="33" s="1"/>
  <c r="AL8" i="33"/>
  <c r="AL7" i="33"/>
  <c r="AL5" i="33"/>
  <c r="AL21" i="33"/>
  <c r="AL3" i="33"/>
  <c r="AL4" i="33"/>
  <c r="AL37" i="33"/>
  <c r="AL32" i="33"/>
  <c r="AL36" i="33"/>
  <c r="AK15" i="33"/>
  <c r="AK41" i="33" s="1"/>
  <c r="AK16" i="33"/>
  <c r="AK42" i="33" s="1"/>
  <c r="AL25" i="33"/>
  <c r="AL24" i="33"/>
  <c r="AL28" i="33"/>
  <c r="AL33" i="33"/>
  <c r="AE116" i="8" l="1"/>
  <c r="AE97" i="8"/>
  <c r="AE54" i="8"/>
  <c r="AE61" i="8"/>
  <c r="AE103" i="8"/>
  <c r="AE36" i="8"/>
  <c r="AE110" i="8"/>
  <c r="AE59" i="8"/>
  <c r="AE45" i="8"/>
  <c r="AE88" i="8"/>
  <c r="AE51" i="8"/>
  <c r="AE53" i="8"/>
  <c r="AE60" i="8"/>
  <c r="AE69" i="8"/>
  <c r="AE49" i="8"/>
  <c r="AE25" i="8"/>
  <c r="AE19" i="8"/>
  <c r="AE50" i="8"/>
  <c r="AE43" i="8"/>
  <c r="AE71" i="8"/>
  <c r="AE24" i="8"/>
  <c r="AE74" i="8"/>
  <c r="AE92" i="8"/>
  <c r="AE70" i="8"/>
  <c r="AE75" i="8"/>
  <c r="AE79" i="8"/>
  <c r="AE85" i="8"/>
  <c r="AE109" i="8"/>
  <c r="AE32" i="8"/>
  <c r="AE38" i="8"/>
  <c r="AE68" i="8"/>
  <c r="AE37" i="8"/>
  <c r="AE13" i="8"/>
  <c r="AE118" i="8"/>
  <c r="AE26" i="8"/>
  <c r="AE99" i="8"/>
  <c r="AE57" i="8"/>
  <c r="AE76" i="8"/>
  <c r="AE101" i="8"/>
  <c r="AE84" i="8"/>
  <c r="AE96" i="8"/>
  <c r="AE47" i="8"/>
  <c r="AE113" i="8"/>
  <c r="AE94" i="8"/>
  <c r="AE20" i="8"/>
  <c r="AE55" i="8"/>
  <c r="AE41" i="8"/>
  <c r="AE86" i="8"/>
  <c r="AE117" i="8"/>
  <c r="AE46" i="8"/>
  <c r="AE42" i="8"/>
  <c r="AE102" i="8"/>
  <c r="AE15" i="8"/>
  <c r="AE87" i="8"/>
  <c r="AE35" i="8"/>
  <c r="AE44" i="8"/>
  <c r="AE23" i="8"/>
  <c r="AE115" i="8"/>
  <c r="AE52" i="8"/>
  <c r="AE91" i="8"/>
  <c r="AE78" i="8"/>
  <c r="AE89" i="8"/>
  <c r="AE39" i="8"/>
  <c r="AE111" i="8"/>
  <c r="AE22" i="8"/>
  <c r="AE12" i="8"/>
  <c r="AF9" i="8"/>
  <c r="AE65" i="8"/>
  <c r="AE56" i="8"/>
  <c r="AE16" i="8"/>
  <c r="AE11" i="8"/>
  <c r="AE30" i="8"/>
  <c r="AE72" i="8"/>
  <c r="AE112" i="8"/>
  <c r="AE48" i="8"/>
  <c r="AE83" i="8"/>
  <c r="AE77" i="8"/>
  <c r="AE63" i="8"/>
  <c r="AE58" i="8"/>
  <c r="AE81" i="8"/>
  <c r="AE29" i="8"/>
  <c r="AE17" i="8"/>
  <c r="AE33" i="8"/>
  <c r="AE10" i="8"/>
  <c r="AE108" i="8"/>
  <c r="AE14" i="8"/>
  <c r="AE106" i="8"/>
  <c r="AE67" i="8"/>
  <c r="AE18" i="8"/>
  <c r="AE21" i="8"/>
  <c r="AE107" i="8"/>
  <c r="AE98" i="8"/>
  <c r="AE105" i="8"/>
  <c r="AE31" i="8"/>
  <c r="AE95" i="8"/>
  <c r="AE114" i="8"/>
  <c r="AE104" i="8"/>
  <c r="AE90" i="8"/>
  <c r="AE27" i="8"/>
  <c r="AE100" i="8"/>
  <c r="AE64" i="8"/>
  <c r="AE40" i="8"/>
  <c r="AE34" i="8"/>
  <c r="AE82" i="8"/>
  <c r="AE80" i="8"/>
  <c r="AE28" i="8"/>
  <c r="AE93" i="8"/>
  <c r="AE62" i="8"/>
  <c r="AE66" i="8"/>
  <c r="AE73" i="8"/>
  <c r="AM32" i="33"/>
  <c r="AM24" i="33"/>
  <c r="AM21" i="33"/>
  <c r="AN28" i="33" s="1"/>
  <c r="AM3" i="33"/>
  <c r="AM19" i="33"/>
  <c r="AM14" i="33"/>
  <c r="AM5" i="33"/>
  <c r="AM20" i="33"/>
  <c r="AN33" i="33" s="1"/>
  <c r="AM4" i="33"/>
  <c r="AM8" i="33"/>
  <c r="AM7" i="33"/>
  <c r="AM29" i="33"/>
  <c r="AM36" i="33"/>
  <c r="AM37" i="33"/>
  <c r="AL15" i="33"/>
  <c r="AL41" i="33" s="1"/>
  <c r="AL16" i="33"/>
  <c r="AL42" i="33" s="1"/>
  <c r="AM25" i="33"/>
  <c r="AM28" i="33"/>
  <c r="AF118" i="8" l="1"/>
  <c r="AF37" i="8"/>
  <c r="AF38" i="8"/>
  <c r="AF35" i="8"/>
  <c r="AF43" i="8"/>
  <c r="AF65" i="8"/>
  <c r="AF72" i="8"/>
  <c r="AF31" i="8"/>
  <c r="AF70" i="8"/>
  <c r="AF85" i="8"/>
  <c r="AF32" i="8"/>
  <c r="AF100" i="8"/>
  <c r="AF33" i="8"/>
  <c r="AF41" i="8"/>
  <c r="AF64" i="8"/>
  <c r="AF23" i="8"/>
  <c r="AF25" i="8"/>
  <c r="AF54" i="8"/>
  <c r="AF53" i="8"/>
  <c r="AF21" i="8"/>
  <c r="AF99" i="8"/>
  <c r="AF40" i="8"/>
  <c r="AF52" i="8"/>
  <c r="AF69" i="8"/>
  <c r="AF63" i="8"/>
  <c r="AF84" i="8"/>
  <c r="AF55" i="8"/>
  <c r="AF57" i="8"/>
  <c r="AF14" i="8"/>
  <c r="AF67" i="8"/>
  <c r="AF60" i="8"/>
  <c r="AF42" i="8"/>
  <c r="AF106" i="8"/>
  <c r="AF113" i="8"/>
  <c r="AF30" i="8"/>
  <c r="AF11" i="8"/>
  <c r="AF92" i="8"/>
  <c r="AF75" i="8"/>
  <c r="AF26" i="8"/>
  <c r="AF114" i="8"/>
  <c r="AF22" i="8"/>
  <c r="AF103" i="8"/>
  <c r="AF98" i="8"/>
  <c r="AF73" i="8"/>
  <c r="AF19" i="8"/>
  <c r="AF89" i="8"/>
  <c r="AF58" i="8"/>
  <c r="AF18" i="8"/>
  <c r="AF91" i="8"/>
  <c r="AF116" i="8"/>
  <c r="AF117" i="8"/>
  <c r="AF59" i="8"/>
  <c r="AF20" i="8"/>
  <c r="AF90" i="8"/>
  <c r="AF46" i="8"/>
  <c r="AF68" i="8"/>
  <c r="AF13" i="8"/>
  <c r="AF44" i="8"/>
  <c r="AF12" i="8"/>
  <c r="AF101" i="8"/>
  <c r="AF74" i="8"/>
  <c r="AF15" i="8"/>
  <c r="AF62" i="8"/>
  <c r="AF79" i="8"/>
  <c r="AF112" i="8"/>
  <c r="AF93" i="8"/>
  <c r="AF95" i="8"/>
  <c r="AF47" i="8"/>
  <c r="AF86" i="8"/>
  <c r="AF81" i="8"/>
  <c r="AF109" i="8"/>
  <c r="AF88" i="8"/>
  <c r="AF61" i="8"/>
  <c r="AF56" i="8"/>
  <c r="AF28" i="8"/>
  <c r="AF39" i="8"/>
  <c r="AF36" i="8"/>
  <c r="AF29" i="8"/>
  <c r="AF105" i="8"/>
  <c r="AF49" i="8"/>
  <c r="AF34" i="8"/>
  <c r="AF45" i="8"/>
  <c r="AF111" i="8"/>
  <c r="AF51" i="8"/>
  <c r="AF71" i="8"/>
  <c r="AF108" i="8"/>
  <c r="AF16" i="8"/>
  <c r="AF107" i="8"/>
  <c r="AF76" i="8"/>
  <c r="AF82" i="8"/>
  <c r="AF77" i="8"/>
  <c r="AF80" i="8"/>
  <c r="AG9" i="8"/>
  <c r="AF50" i="8"/>
  <c r="AF10" i="8"/>
  <c r="AF83" i="8"/>
  <c r="AF17" i="8"/>
  <c r="AF104" i="8"/>
  <c r="AF48" i="8"/>
  <c r="AF66" i="8"/>
  <c r="AF110" i="8"/>
  <c r="AF78" i="8"/>
  <c r="AF96" i="8"/>
  <c r="AF102" i="8"/>
  <c r="AF24" i="8"/>
  <c r="AF94" i="8"/>
  <c r="AF87" i="8"/>
  <c r="AF27" i="8"/>
  <c r="AF97" i="8"/>
  <c r="AF115" i="8"/>
  <c r="AN25" i="33"/>
  <c r="AN24" i="33"/>
  <c r="AN20" i="33"/>
  <c r="AN21" i="33"/>
  <c r="AN4" i="33"/>
  <c r="AN3" i="33"/>
  <c r="AN19" i="33"/>
  <c r="AN14" i="33"/>
  <c r="AN8" i="33"/>
  <c r="AN7" i="33"/>
  <c r="AN5" i="33"/>
  <c r="AN32" i="33"/>
  <c r="AN37" i="33"/>
  <c r="AN36" i="33"/>
  <c r="AM15" i="33"/>
  <c r="AM41" i="33" s="1"/>
  <c r="AM16" i="33"/>
  <c r="AM42" i="33" s="1"/>
  <c r="AN29" i="33"/>
  <c r="AG26" i="8" l="1"/>
  <c r="AG40" i="8"/>
  <c r="AG14" i="8"/>
  <c r="AG37" i="8"/>
  <c r="AG105" i="8"/>
  <c r="AG87" i="8"/>
  <c r="AG50" i="8"/>
  <c r="AG113" i="8"/>
  <c r="AG94" i="8"/>
  <c r="AG24" i="8"/>
  <c r="AG39" i="8"/>
  <c r="AG32" i="8"/>
  <c r="AG97" i="8"/>
  <c r="AG112" i="8"/>
  <c r="AH9" i="8"/>
  <c r="AG55" i="8"/>
  <c r="AG18" i="8"/>
  <c r="AG93" i="8"/>
  <c r="AG77" i="8"/>
  <c r="AG86" i="8"/>
  <c r="AG110" i="8"/>
  <c r="AG69" i="8"/>
  <c r="AG70" i="8"/>
  <c r="AG89" i="8"/>
  <c r="AG49" i="8"/>
  <c r="AG96" i="8"/>
  <c r="AG95" i="8"/>
  <c r="AG111" i="8"/>
  <c r="AG38" i="8"/>
  <c r="AG103" i="8"/>
  <c r="AG114" i="8"/>
  <c r="AG41" i="8"/>
  <c r="AG76" i="8"/>
  <c r="AG102" i="8"/>
  <c r="AG19" i="8"/>
  <c r="AG85" i="8"/>
  <c r="AG104" i="8"/>
  <c r="AG75" i="8"/>
  <c r="AG23" i="8"/>
  <c r="AG15" i="8"/>
  <c r="AG101" i="8"/>
  <c r="AG25" i="8"/>
  <c r="AG36" i="8"/>
  <c r="AG46" i="8"/>
  <c r="AG80" i="8"/>
  <c r="AG98" i="8"/>
  <c r="AG20" i="8"/>
  <c r="AG51" i="8"/>
  <c r="AG28" i="8"/>
  <c r="AG35" i="8"/>
  <c r="AG109" i="8"/>
  <c r="AG30" i="8"/>
  <c r="AG44" i="8"/>
  <c r="AG73" i="8"/>
  <c r="AG56" i="8"/>
  <c r="AG13" i="8"/>
  <c r="AG71" i="8"/>
  <c r="AG10" i="8"/>
  <c r="AG74" i="8"/>
  <c r="AG60" i="8"/>
  <c r="AG12" i="8"/>
  <c r="AG57" i="8"/>
  <c r="AG106" i="8"/>
  <c r="AG17" i="8"/>
  <c r="AG54" i="8"/>
  <c r="AG118" i="8"/>
  <c r="AG88" i="8"/>
  <c r="AG64" i="8"/>
  <c r="AG52" i="8"/>
  <c r="AG115" i="8"/>
  <c r="AG22" i="8"/>
  <c r="AG99" i="8"/>
  <c r="AG79" i="8"/>
  <c r="AG31" i="8"/>
  <c r="AG90" i="8"/>
  <c r="AG65" i="8"/>
  <c r="AG29" i="8"/>
  <c r="AG59" i="8"/>
  <c r="AG116" i="8"/>
  <c r="AG58" i="8"/>
  <c r="AG33" i="8"/>
  <c r="AG92" i="8"/>
  <c r="AG91" i="8"/>
  <c r="AG43" i="8"/>
  <c r="AG84" i="8"/>
  <c r="AG61" i="8"/>
  <c r="AG48" i="8"/>
  <c r="AG27" i="8"/>
  <c r="AG78" i="8"/>
  <c r="AG66" i="8"/>
  <c r="AG53" i="8"/>
  <c r="AG63" i="8"/>
  <c r="AG81" i="8"/>
  <c r="AG62" i="8"/>
  <c r="AG47" i="8"/>
  <c r="AG107" i="8"/>
  <c r="AG11" i="8"/>
  <c r="AG16" i="8"/>
  <c r="AG117" i="8"/>
  <c r="AG21" i="8"/>
  <c r="AG68" i="8"/>
  <c r="AG67" i="8"/>
  <c r="AG82" i="8"/>
  <c r="AG72" i="8"/>
  <c r="AG45" i="8"/>
  <c r="AG108" i="8"/>
  <c r="AG42" i="8"/>
  <c r="AG83" i="8"/>
  <c r="AG100" i="8"/>
  <c r="AG34" i="8"/>
  <c r="AO37" i="33"/>
  <c r="AO36" i="33"/>
  <c r="AO19" i="33"/>
  <c r="AO5" i="33"/>
  <c r="AO14" i="33"/>
  <c r="AO7" i="33"/>
  <c r="AO4" i="33"/>
  <c r="AO20" i="33"/>
  <c r="AP37" i="33" s="1"/>
  <c r="AO21" i="33"/>
  <c r="AP29" i="33" s="1"/>
  <c r="AO3" i="33"/>
  <c r="AO8" i="33"/>
  <c r="AN15" i="33"/>
  <c r="AN41" i="33" s="1"/>
  <c r="AN16" i="33"/>
  <c r="AN42" i="33" s="1"/>
  <c r="AO25" i="33"/>
  <c r="AO28" i="33"/>
  <c r="AO29" i="33"/>
  <c r="AO24" i="33"/>
  <c r="AO33" i="33"/>
  <c r="AO32" i="33"/>
  <c r="AH12" i="8" l="1"/>
  <c r="AH103" i="8"/>
  <c r="AH56" i="8"/>
  <c r="AH88" i="8"/>
  <c r="AH46" i="8"/>
  <c r="AH24" i="8"/>
  <c r="AH67" i="8"/>
  <c r="AH109" i="8"/>
  <c r="AH18" i="8"/>
  <c r="AH31" i="8"/>
  <c r="AH91" i="8"/>
  <c r="AH76" i="8"/>
  <c r="AH87" i="8"/>
  <c r="AH37" i="8"/>
  <c r="AH17" i="8"/>
  <c r="AH34" i="8"/>
  <c r="AH99" i="8"/>
  <c r="AH64" i="8"/>
  <c r="AH114" i="8"/>
  <c r="AH117" i="8"/>
  <c r="AH83" i="8"/>
  <c r="AH73" i="8"/>
  <c r="AH110" i="8"/>
  <c r="AH11" i="8"/>
  <c r="AH14" i="8"/>
  <c r="AH28" i="8"/>
  <c r="AH48" i="8"/>
  <c r="AH111" i="8"/>
  <c r="AH55" i="8"/>
  <c r="AH85" i="8"/>
  <c r="AH82" i="8"/>
  <c r="AH42" i="8"/>
  <c r="AH106" i="8"/>
  <c r="AH90" i="8"/>
  <c r="AH65" i="8"/>
  <c r="AH96" i="8"/>
  <c r="AH97" i="8"/>
  <c r="AH32" i="8"/>
  <c r="AH41" i="8"/>
  <c r="AH72" i="8"/>
  <c r="AH47" i="8"/>
  <c r="AH95" i="8"/>
  <c r="AH93" i="8"/>
  <c r="AH10" i="8"/>
  <c r="AH39" i="8"/>
  <c r="AH108" i="8"/>
  <c r="AH29" i="8"/>
  <c r="AH94" i="8"/>
  <c r="AH118" i="8"/>
  <c r="AH19" i="8"/>
  <c r="AH77" i="8"/>
  <c r="AH27" i="8"/>
  <c r="AH58" i="8"/>
  <c r="AH100" i="8"/>
  <c r="AH112" i="8"/>
  <c r="AH25" i="8"/>
  <c r="AH71" i="8"/>
  <c r="AH43" i="8"/>
  <c r="AH44" i="8"/>
  <c r="AI9" i="8"/>
  <c r="AH15" i="8"/>
  <c r="AH86" i="8"/>
  <c r="AH36" i="8"/>
  <c r="AH51" i="8"/>
  <c r="AH104" i="8"/>
  <c r="AH16" i="8"/>
  <c r="AH57" i="8"/>
  <c r="AH26" i="8"/>
  <c r="AH105" i="8"/>
  <c r="AH20" i="8"/>
  <c r="AH23" i="8"/>
  <c r="AH60" i="8"/>
  <c r="AH70" i="8"/>
  <c r="AH54" i="8"/>
  <c r="AH69" i="8"/>
  <c r="AH21" i="8"/>
  <c r="AH68" i="8"/>
  <c r="AH80" i="8"/>
  <c r="AH75" i="8"/>
  <c r="AH52" i="8"/>
  <c r="AH92" i="8"/>
  <c r="AH107" i="8"/>
  <c r="AH101" i="8"/>
  <c r="AH113" i="8"/>
  <c r="AH116" i="8"/>
  <c r="AH78" i="8"/>
  <c r="AH50" i="8"/>
  <c r="AH45" i="8"/>
  <c r="AH102" i="8"/>
  <c r="AH63" i="8"/>
  <c r="AH115" i="8"/>
  <c r="AH81" i="8"/>
  <c r="AH79" i="8"/>
  <c r="AH84" i="8"/>
  <c r="AH22" i="8"/>
  <c r="AH61" i="8"/>
  <c r="AH98" i="8"/>
  <c r="AH53" i="8"/>
  <c r="AH30" i="8"/>
  <c r="AH59" i="8"/>
  <c r="AH89" i="8"/>
  <c r="AH49" i="8"/>
  <c r="AH74" i="8"/>
  <c r="AH35" i="8"/>
  <c r="AH62" i="8"/>
  <c r="AH40" i="8"/>
  <c r="AH13" i="8"/>
  <c r="AH66" i="8"/>
  <c r="AH38" i="8"/>
  <c r="AH33" i="8"/>
  <c r="AP25" i="33"/>
  <c r="AP28" i="33"/>
  <c r="AO15" i="33"/>
  <c r="AO41" i="33" s="1"/>
  <c r="AO16" i="33"/>
  <c r="AO42" i="33" s="1"/>
  <c r="AP20" i="33"/>
  <c r="AQ32" i="33" s="1"/>
  <c r="AP7" i="33"/>
  <c r="AP21" i="33"/>
  <c r="AQ28" i="33" s="1"/>
  <c r="AP4" i="33"/>
  <c r="AP3" i="33"/>
  <c r="AP19" i="33"/>
  <c r="AP8" i="33"/>
  <c r="AP14" i="33"/>
  <c r="AP5" i="33"/>
  <c r="AP33" i="33"/>
  <c r="AP24" i="33"/>
  <c r="AP36" i="33"/>
  <c r="AP32" i="33"/>
  <c r="AI19" i="8" l="1"/>
  <c r="AI47" i="8"/>
  <c r="AI118" i="8"/>
  <c r="AI90" i="8"/>
  <c r="AI23" i="8"/>
  <c r="AI65" i="8"/>
  <c r="AI88" i="8"/>
  <c r="AI104" i="8"/>
  <c r="AI13" i="8"/>
  <c r="AI83" i="8"/>
  <c r="AI87" i="8"/>
  <c r="AI59" i="8"/>
  <c r="AI44" i="8"/>
  <c r="AI12" i="8"/>
  <c r="AI56" i="8"/>
  <c r="AI63" i="8"/>
  <c r="AI106" i="8"/>
  <c r="AI112" i="8"/>
  <c r="AI39" i="8"/>
  <c r="AI41" i="8"/>
  <c r="AI49" i="8"/>
  <c r="AI107" i="8"/>
  <c r="AI22" i="8"/>
  <c r="AI85" i="8"/>
  <c r="AI105" i="8"/>
  <c r="AI70" i="8"/>
  <c r="AI99" i="8"/>
  <c r="AI64" i="8"/>
  <c r="AI72" i="8"/>
  <c r="AI58" i="8"/>
  <c r="AI96" i="8"/>
  <c r="AI43" i="8"/>
  <c r="AI103" i="8"/>
  <c r="AI37" i="8"/>
  <c r="AI34" i="8"/>
  <c r="AI100" i="8"/>
  <c r="AI52" i="8"/>
  <c r="AI115" i="8"/>
  <c r="AI31" i="8"/>
  <c r="AI14" i="8"/>
  <c r="AI51" i="8"/>
  <c r="AI93" i="8"/>
  <c r="AI95" i="8"/>
  <c r="AI66" i="8"/>
  <c r="AI20" i="8"/>
  <c r="AJ9" i="8"/>
  <c r="AI91" i="8"/>
  <c r="AI79" i="8"/>
  <c r="AI108" i="8"/>
  <c r="AI33" i="8"/>
  <c r="AI89" i="8"/>
  <c r="AI94" i="8"/>
  <c r="AI24" i="8"/>
  <c r="AI54" i="8"/>
  <c r="AI69" i="8"/>
  <c r="AI25" i="8"/>
  <c r="AI73" i="8"/>
  <c r="AI35" i="8"/>
  <c r="AI48" i="8"/>
  <c r="AI21" i="8"/>
  <c r="AI82" i="8"/>
  <c r="AI28" i="8"/>
  <c r="AI50" i="8"/>
  <c r="AI97" i="8"/>
  <c r="AI40" i="8"/>
  <c r="AI111" i="8"/>
  <c r="AI53" i="8"/>
  <c r="AI26" i="8"/>
  <c r="AI57" i="8"/>
  <c r="AI80" i="8"/>
  <c r="AI29" i="8"/>
  <c r="AI109" i="8"/>
  <c r="AI38" i="8"/>
  <c r="AI67" i="8"/>
  <c r="AI10" i="8"/>
  <c r="AI92" i="8"/>
  <c r="AI113" i="8"/>
  <c r="AI62" i="8"/>
  <c r="AI36" i="8"/>
  <c r="AI55" i="8"/>
  <c r="AI61" i="8"/>
  <c r="AI86" i="8"/>
  <c r="AI98" i="8"/>
  <c r="AI114" i="8"/>
  <c r="AI76" i="8"/>
  <c r="AI16" i="8"/>
  <c r="AI45" i="8"/>
  <c r="AI84" i="8"/>
  <c r="AI102" i="8"/>
  <c r="AI11" i="8"/>
  <c r="AI81" i="8"/>
  <c r="AI74" i="8"/>
  <c r="AI32" i="8"/>
  <c r="AI15" i="8"/>
  <c r="AI27" i="8"/>
  <c r="AI101" i="8"/>
  <c r="AI71" i="8"/>
  <c r="AI60" i="8"/>
  <c r="AI30" i="8"/>
  <c r="AI110" i="8"/>
  <c r="AI78" i="8"/>
  <c r="AI116" i="8"/>
  <c r="AI42" i="8"/>
  <c r="AI18" i="8"/>
  <c r="AI77" i="8"/>
  <c r="AI68" i="8"/>
  <c r="AI75" i="8"/>
  <c r="AI17" i="8"/>
  <c r="AI46" i="8"/>
  <c r="AI117" i="8"/>
  <c r="AQ25" i="33"/>
  <c r="AQ37" i="33"/>
  <c r="AQ36" i="33"/>
  <c r="AQ33" i="33"/>
  <c r="AQ24" i="33"/>
  <c r="AP15" i="33"/>
  <c r="AP41" i="33" s="1"/>
  <c r="AP16" i="33"/>
  <c r="AP42" i="33" s="1"/>
  <c r="AQ4" i="33"/>
  <c r="AQ21" i="33"/>
  <c r="AQ3" i="33"/>
  <c r="AQ19" i="33"/>
  <c r="AQ5" i="33"/>
  <c r="AQ14" i="33"/>
  <c r="AQ7" i="33"/>
  <c r="AQ8" i="33"/>
  <c r="AQ20" i="33"/>
  <c r="AR37" i="33" s="1"/>
  <c r="AQ29" i="33"/>
  <c r="AJ109" i="8" l="1"/>
  <c r="AJ81" i="8"/>
  <c r="AJ73" i="8"/>
  <c r="AJ34" i="8"/>
  <c r="AJ96" i="8"/>
  <c r="AJ56" i="8"/>
  <c r="AJ93" i="8"/>
  <c r="AJ16" i="8"/>
  <c r="AJ36" i="8"/>
  <c r="AJ23" i="8"/>
  <c r="AJ43" i="8"/>
  <c r="AJ91" i="8"/>
  <c r="AJ74" i="8"/>
  <c r="AJ86" i="8"/>
  <c r="AJ76" i="8"/>
  <c r="AJ78" i="8"/>
  <c r="AJ67" i="8"/>
  <c r="AJ101" i="8"/>
  <c r="AJ100" i="8"/>
  <c r="AJ117" i="8"/>
  <c r="AK9" i="8"/>
  <c r="AJ12" i="8"/>
  <c r="AJ85" i="8"/>
  <c r="AJ30" i="8"/>
  <c r="AJ98" i="8"/>
  <c r="AJ24" i="8"/>
  <c r="AJ46" i="8"/>
  <c r="AJ31" i="8"/>
  <c r="AJ47" i="8"/>
  <c r="AJ111" i="8"/>
  <c r="AJ45" i="8"/>
  <c r="AJ79" i="8"/>
  <c r="AJ22" i="8"/>
  <c r="AJ61" i="8"/>
  <c r="AJ80" i="8"/>
  <c r="AJ62" i="8"/>
  <c r="AJ105" i="8"/>
  <c r="AJ59" i="8"/>
  <c r="AJ54" i="8"/>
  <c r="AJ17" i="8"/>
  <c r="AJ60" i="8"/>
  <c r="AJ71" i="8"/>
  <c r="AJ95" i="8"/>
  <c r="AJ66" i="8"/>
  <c r="AJ103" i="8"/>
  <c r="AJ107" i="8"/>
  <c r="AJ51" i="8"/>
  <c r="AJ26" i="8"/>
  <c r="AJ69" i="8"/>
  <c r="AJ108" i="8"/>
  <c r="AJ28" i="8"/>
  <c r="AJ104" i="8"/>
  <c r="AJ65" i="8"/>
  <c r="AJ82" i="8"/>
  <c r="AJ102" i="8"/>
  <c r="AJ40" i="8"/>
  <c r="AJ84" i="8"/>
  <c r="AJ75" i="8"/>
  <c r="AJ32" i="8"/>
  <c r="AJ44" i="8"/>
  <c r="AJ64" i="8"/>
  <c r="AJ72" i="8"/>
  <c r="AJ58" i="8"/>
  <c r="AJ38" i="8"/>
  <c r="AJ63" i="8"/>
  <c r="AJ13" i="8"/>
  <c r="AJ115" i="8"/>
  <c r="AJ110" i="8"/>
  <c r="AJ94" i="8"/>
  <c r="AJ114" i="8"/>
  <c r="AJ77" i="8"/>
  <c r="AJ87" i="8"/>
  <c r="AJ97" i="8"/>
  <c r="AJ15" i="8"/>
  <c r="AJ49" i="8"/>
  <c r="AJ19" i="8"/>
  <c r="AJ118" i="8"/>
  <c r="AJ25" i="8"/>
  <c r="AJ14" i="8"/>
  <c r="AJ88" i="8"/>
  <c r="AJ50" i="8"/>
  <c r="AJ99" i="8"/>
  <c r="AJ35" i="8"/>
  <c r="AJ116" i="8"/>
  <c r="AJ39" i="8"/>
  <c r="AJ48" i="8"/>
  <c r="AJ20" i="8"/>
  <c r="AJ112" i="8"/>
  <c r="AJ33" i="8"/>
  <c r="AJ113" i="8"/>
  <c r="AJ57" i="8"/>
  <c r="AJ21" i="8"/>
  <c r="AJ11" i="8"/>
  <c r="AJ53" i="8"/>
  <c r="AJ89" i="8"/>
  <c r="AJ42" i="8"/>
  <c r="AJ83" i="8"/>
  <c r="AJ106" i="8"/>
  <c r="AJ41" i="8"/>
  <c r="AJ18" i="8"/>
  <c r="AJ29" i="8"/>
  <c r="AJ10" i="8"/>
  <c r="AJ52" i="8"/>
  <c r="AJ70" i="8"/>
  <c r="AJ92" i="8"/>
  <c r="AJ90" i="8"/>
  <c r="AJ68" i="8"/>
  <c r="AJ55" i="8"/>
  <c r="AJ37" i="8"/>
  <c r="AJ27" i="8"/>
  <c r="AR14" i="33"/>
  <c r="AR8" i="33"/>
  <c r="AR5" i="33"/>
  <c r="AR20" i="33"/>
  <c r="AS36" i="33" s="1"/>
  <c r="AR4" i="33"/>
  <c r="AR21" i="33"/>
  <c r="AS25" i="33" s="1"/>
  <c r="AR7" i="33"/>
  <c r="AR3" i="33"/>
  <c r="AR19" i="33"/>
  <c r="AR24" i="33"/>
  <c r="AR29" i="33"/>
  <c r="AR36" i="33"/>
  <c r="AR33" i="33"/>
  <c r="AR32" i="33"/>
  <c r="AR28" i="33"/>
  <c r="AQ15" i="33"/>
  <c r="AQ41" i="33" s="1"/>
  <c r="AQ16" i="33"/>
  <c r="AQ42" i="33" s="1"/>
  <c r="AR25" i="33"/>
  <c r="AK99" i="8" l="1"/>
  <c r="AK45" i="8"/>
  <c r="AK21" i="8"/>
  <c r="AK69" i="8"/>
  <c r="AK50" i="8"/>
  <c r="AK16" i="8"/>
  <c r="AL9" i="8"/>
  <c r="AK91" i="8"/>
  <c r="AK112" i="8"/>
  <c r="AK30" i="8"/>
  <c r="AK110" i="8"/>
  <c r="AK14" i="8"/>
  <c r="AK100" i="8"/>
  <c r="AK109" i="8"/>
  <c r="AK83" i="8"/>
  <c r="AK111" i="8"/>
  <c r="AK29" i="8"/>
  <c r="AK10" i="8"/>
  <c r="AK18" i="8"/>
  <c r="AK67" i="8"/>
  <c r="AK62" i="8"/>
  <c r="AK28" i="8"/>
  <c r="AK51" i="8"/>
  <c r="AK108" i="8"/>
  <c r="AK20" i="8"/>
  <c r="AK12" i="8"/>
  <c r="AK26" i="8"/>
  <c r="AK44" i="8"/>
  <c r="AK19" i="8"/>
  <c r="AK25" i="8"/>
  <c r="AK66" i="8"/>
  <c r="AK27" i="8"/>
  <c r="AK88" i="8"/>
  <c r="AK65" i="8"/>
  <c r="AK97" i="8"/>
  <c r="AK31" i="8"/>
  <c r="AK61" i="8"/>
  <c r="AK58" i="8"/>
  <c r="AK77" i="8"/>
  <c r="AK84" i="8"/>
  <c r="AK15" i="8"/>
  <c r="AK43" i="8"/>
  <c r="AK106" i="8"/>
  <c r="AK46" i="8"/>
  <c r="AK104" i="8"/>
  <c r="AK117" i="8"/>
  <c r="AK13" i="8"/>
  <c r="AK17" i="8"/>
  <c r="AK96" i="8"/>
  <c r="AK116" i="8"/>
  <c r="AK55" i="8"/>
  <c r="AK11" i="8"/>
  <c r="AK52" i="8"/>
  <c r="AK47" i="8"/>
  <c r="AK102" i="8"/>
  <c r="AK54" i="8"/>
  <c r="AK73" i="8"/>
  <c r="AK86" i="8"/>
  <c r="AK36" i="8"/>
  <c r="AK49" i="8"/>
  <c r="AK56" i="8"/>
  <c r="AK92" i="8"/>
  <c r="AK68" i="8"/>
  <c r="AK71" i="8"/>
  <c r="AK118" i="8"/>
  <c r="AK75" i="8"/>
  <c r="AK23" i="8"/>
  <c r="AK22" i="8"/>
  <c r="AK38" i="8"/>
  <c r="AK114" i="8"/>
  <c r="AK42" i="8"/>
  <c r="AK87" i="8"/>
  <c r="AK90" i="8"/>
  <c r="AK115" i="8"/>
  <c r="AK41" i="8"/>
  <c r="AK80" i="8"/>
  <c r="AK32" i="8"/>
  <c r="AK98" i="8"/>
  <c r="AK82" i="8"/>
  <c r="AK81" i="8"/>
  <c r="AK24" i="8"/>
  <c r="AK85" i="8"/>
  <c r="AK103" i="8"/>
  <c r="AK74" i="8"/>
  <c r="AK107" i="8"/>
  <c r="AK94" i="8"/>
  <c r="AK79" i="8"/>
  <c r="AK63" i="8"/>
  <c r="AK64" i="8"/>
  <c r="AK76" i="8"/>
  <c r="AK53" i="8"/>
  <c r="AK95" i="8"/>
  <c r="AK93" i="8"/>
  <c r="AK33" i="8"/>
  <c r="AK113" i="8"/>
  <c r="AK34" i="8"/>
  <c r="AK48" i="8"/>
  <c r="AK60" i="8"/>
  <c r="AK57" i="8"/>
  <c r="AK37" i="8"/>
  <c r="AK89" i="8"/>
  <c r="AK72" i="8"/>
  <c r="AK78" i="8"/>
  <c r="AK101" i="8"/>
  <c r="AK39" i="8"/>
  <c r="AK59" i="8"/>
  <c r="AK35" i="8"/>
  <c r="AK105" i="8"/>
  <c r="AK40" i="8"/>
  <c r="AK70" i="8"/>
  <c r="AS5" i="33"/>
  <c r="AS20" i="33"/>
  <c r="AS4" i="33"/>
  <c r="AS21" i="33"/>
  <c r="AT24" i="33" s="1"/>
  <c r="AS3" i="33"/>
  <c r="AS7" i="33"/>
  <c r="AS19" i="33"/>
  <c r="AS14" i="33"/>
  <c r="AS8" i="33"/>
  <c r="AS37" i="33"/>
  <c r="AS32" i="33"/>
  <c r="AR16" i="33"/>
  <c r="AR42" i="33" s="1"/>
  <c r="AR15" i="33"/>
  <c r="AR41" i="33" s="1"/>
  <c r="AS24" i="33"/>
  <c r="AS29" i="33"/>
  <c r="AS33" i="33"/>
  <c r="AS28" i="33"/>
  <c r="AL98" i="8" l="1"/>
  <c r="AM9" i="8"/>
  <c r="AL55" i="8"/>
  <c r="AL117" i="8"/>
  <c r="AL71" i="8"/>
  <c r="AL11" i="8"/>
  <c r="AL46" i="8"/>
  <c r="AL63" i="8"/>
  <c r="AL32" i="8"/>
  <c r="AL78" i="8"/>
  <c r="AL79" i="8"/>
  <c r="AL64" i="8"/>
  <c r="AL42" i="8"/>
  <c r="AL29" i="8"/>
  <c r="AL25" i="8"/>
  <c r="AL81" i="8"/>
  <c r="AL84" i="8"/>
  <c r="AL33" i="8"/>
  <c r="AL69" i="8"/>
  <c r="AL85" i="8"/>
  <c r="AL56" i="8"/>
  <c r="AL111" i="8"/>
  <c r="AL61" i="8"/>
  <c r="AL76" i="8"/>
  <c r="AL62" i="8"/>
  <c r="AL89" i="8"/>
  <c r="AL97" i="8"/>
  <c r="AL114" i="8"/>
  <c r="AL36" i="8"/>
  <c r="AL54" i="8"/>
  <c r="AL26" i="8"/>
  <c r="AL90" i="8"/>
  <c r="AL94" i="8"/>
  <c r="AL66" i="8"/>
  <c r="AL68" i="8"/>
  <c r="AL41" i="8"/>
  <c r="AL28" i="8"/>
  <c r="AL92" i="8"/>
  <c r="AL60" i="8"/>
  <c r="AL107" i="8"/>
  <c r="AL93" i="8"/>
  <c r="AL10" i="8"/>
  <c r="AL99" i="8"/>
  <c r="AL13" i="8"/>
  <c r="AL116" i="8"/>
  <c r="AL37" i="8"/>
  <c r="AL35" i="8"/>
  <c r="AL23" i="8"/>
  <c r="AL77" i="8"/>
  <c r="AL82" i="8"/>
  <c r="AL48" i="8"/>
  <c r="AL21" i="8"/>
  <c r="AL75" i="8"/>
  <c r="AL24" i="8"/>
  <c r="AL31" i="8"/>
  <c r="AL34" i="8"/>
  <c r="AL59" i="8"/>
  <c r="AL39" i="8"/>
  <c r="AL110" i="8"/>
  <c r="AL50" i="8"/>
  <c r="AL67" i="8"/>
  <c r="AL105" i="8"/>
  <c r="AL106" i="8"/>
  <c r="AL14" i="8"/>
  <c r="AL113" i="8"/>
  <c r="AL40" i="8"/>
  <c r="AL104" i="8"/>
  <c r="AL44" i="8"/>
  <c r="AL27" i="8"/>
  <c r="AL96" i="8"/>
  <c r="AL65" i="8"/>
  <c r="AL103" i="8"/>
  <c r="AL58" i="8"/>
  <c r="AL57" i="8"/>
  <c r="AL80" i="8"/>
  <c r="AL108" i="8"/>
  <c r="AL30" i="8"/>
  <c r="AL15" i="8"/>
  <c r="AL101" i="8"/>
  <c r="AL88" i="8"/>
  <c r="AL102" i="8"/>
  <c r="AL22" i="8"/>
  <c r="AL95" i="8"/>
  <c r="AL18" i="8"/>
  <c r="AL70" i="8"/>
  <c r="AL86" i="8"/>
  <c r="AL72" i="8"/>
  <c r="AL109" i="8"/>
  <c r="AL45" i="8"/>
  <c r="AL74" i="8"/>
  <c r="AL112" i="8"/>
  <c r="AL52" i="8"/>
  <c r="AL100" i="8"/>
  <c r="AL49" i="8"/>
  <c r="AL91" i="8"/>
  <c r="AL20" i="8"/>
  <c r="AL115" i="8"/>
  <c r="AL53" i="8"/>
  <c r="AL51" i="8"/>
  <c r="AL43" i="8"/>
  <c r="AL73" i="8"/>
  <c r="AL83" i="8"/>
  <c r="AL19" i="8"/>
  <c r="AL17" i="8"/>
  <c r="AL16" i="8"/>
  <c r="AL47" i="8"/>
  <c r="AL118" i="8"/>
  <c r="AL38" i="8"/>
  <c r="AL12" i="8"/>
  <c r="AL87" i="8"/>
  <c r="AT29" i="33"/>
  <c r="AT25" i="33"/>
  <c r="AT28" i="33"/>
  <c r="AT21" i="33"/>
  <c r="AU28" i="33" s="1"/>
  <c r="AT3" i="33"/>
  <c r="AT19" i="33"/>
  <c r="AT14" i="33"/>
  <c r="AT8" i="33"/>
  <c r="AT5" i="33"/>
  <c r="AT4" i="33"/>
  <c r="AT20" i="33"/>
  <c r="AU36" i="33" s="1"/>
  <c r="AT7" i="33"/>
  <c r="AT37" i="33"/>
  <c r="AT33" i="33"/>
  <c r="AT36" i="33"/>
  <c r="AS16" i="33"/>
  <c r="AS42" i="33" s="1"/>
  <c r="AS15" i="33"/>
  <c r="AS41" i="33" s="1"/>
  <c r="AT32" i="33"/>
  <c r="AM115" i="8" l="1"/>
  <c r="AM114" i="8"/>
  <c r="AM99" i="8"/>
  <c r="AM15" i="8"/>
  <c r="AM49" i="8"/>
  <c r="AM48" i="8"/>
  <c r="AM22" i="8"/>
  <c r="AM31" i="8"/>
  <c r="AM91" i="8"/>
  <c r="AM11" i="8"/>
  <c r="AM40" i="8"/>
  <c r="AM92" i="8"/>
  <c r="AM117" i="8"/>
  <c r="AM23" i="8"/>
  <c r="AM103" i="8"/>
  <c r="AM72" i="8"/>
  <c r="AM47" i="8"/>
  <c r="AM16" i="8"/>
  <c r="AM70" i="8"/>
  <c r="AM26" i="8"/>
  <c r="AM43" i="8"/>
  <c r="AM10" i="8"/>
  <c r="AM113" i="8"/>
  <c r="AM27" i="8"/>
  <c r="AM46" i="8"/>
  <c r="AM67" i="8"/>
  <c r="AM61" i="8"/>
  <c r="AM69" i="8"/>
  <c r="AM35" i="8"/>
  <c r="AM41" i="8"/>
  <c r="AM62" i="8"/>
  <c r="AM51" i="8"/>
  <c r="AM58" i="8"/>
  <c r="AM80" i="8"/>
  <c r="AM68" i="8"/>
  <c r="AM76" i="8"/>
  <c r="AM87" i="8"/>
  <c r="AM107" i="8"/>
  <c r="AM37" i="8"/>
  <c r="AM111" i="8"/>
  <c r="AM30" i="8"/>
  <c r="AM94" i="8"/>
  <c r="AM93" i="8"/>
  <c r="AM52" i="8"/>
  <c r="AM54" i="8"/>
  <c r="AM21" i="8"/>
  <c r="AM102" i="8"/>
  <c r="AM85" i="8"/>
  <c r="AM100" i="8"/>
  <c r="AM108" i="8"/>
  <c r="AM38" i="8"/>
  <c r="AM101" i="8"/>
  <c r="AM98" i="8"/>
  <c r="AM53" i="8"/>
  <c r="AM116" i="8"/>
  <c r="AM79" i="8"/>
  <c r="AM44" i="8"/>
  <c r="AM66" i="8"/>
  <c r="AM95" i="8"/>
  <c r="AM86" i="8"/>
  <c r="AM106" i="8"/>
  <c r="AM34" i="8"/>
  <c r="AM28" i="8"/>
  <c r="AM39" i="8"/>
  <c r="AM96" i="8"/>
  <c r="AM18" i="8"/>
  <c r="AN9" i="8"/>
  <c r="AM75" i="8"/>
  <c r="AM81" i="8"/>
  <c r="AM83" i="8"/>
  <c r="AM71" i="8"/>
  <c r="AM50" i="8"/>
  <c r="AM78" i="8"/>
  <c r="AM63" i="8"/>
  <c r="AM64" i="8"/>
  <c r="AM56" i="8"/>
  <c r="AM25" i="8"/>
  <c r="AM82" i="8"/>
  <c r="AM88" i="8"/>
  <c r="AM118" i="8"/>
  <c r="AM105" i="8"/>
  <c r="AM59" i="8"/>
  <c r="AM90" i="8"/>
  <c r="AM32" i="8"/>
  <c r="AM104" i="8"/>
  <c r="AM97" i="8"/>
  <c r="AM57" i="8"/>
  <c r="AM45" i="8"/>
  <c r="AM60" i="8"/>
  <c r="AM19" i="8"/>
  <c r="AM12" i="8"/>
  <c r="AM109" i="8"/>
  <c r="AM77" i="8"/>
  <c r="AM89" i="8"/>
  <c r="AM29" i="8"/>
  <c r="AM55" i="8"/>
  <c r="AM74" i="8"/>
  <c r="AM36" i="8"/>
  <c r="AM65" i="8"/>
  <c r="AM110" i="8"/>
  <c r="AM112" i="8"/>
  <c r="AM14" i="8"/>
  <c r="AM13" i="8"/>
  <c r="AM17" i="8"/>
  <c r="AM24" i="8"/>
  <c r="AM73" i="8"/>
  <c r="AM42" i="8"/>
  <c r="AM33" i="8"/>
  <c r="AM20" i="8"/>
  <c r="AM84" i="8"/>
  <c r="AU37" i="33"/>
  <c r="AU33" i="33"/>
  <c r="AU24" i="33"/>
  <c r="AU29" i="33"/>
  <c r="AU32" i="33"/>
  <c r="AU19" i="33"/>
  <c r="AU14" i="33"/>
  <c r="AU7" i="33"/>
  <c r="AU5" i="33"/>
  <c r="AU4" i="33"/>
  <c r="AU20" i="33"/>
  <c r="AU21" i="33"/>
  <c r="AV29" i="33" s="1"/>
  <c r="AU3" i="33"/>
  <c r="AU8" i="33"/>
  <c r="AT15" i="33"/>
  <c r="AT41" i="33" s="1"/>
  <c r="AT16" i="33"/>
  <c r="AT42" i="33" s="1"/>
  <c r="AU25" i="33"/>
  <c r="AN63" i="8" l="1"/>
  <c r="AN55" i="8"/>
  <c r="AN58" i="8"/>
  <c r="AN97" i="8"/>
  <c r="AN70" i="8"/>
  <c r="AN33" i="8"/>
  <c r="AN53" i="8"/>
  <c r="AN24" i="8"/>
  <c r="AN64" i="8"/>
  <c r="AN88" i="8"/>
  <c r="AN86" i="8"/>
  <c r="AN69" i="8"/>
  <c r="AN101" i="8"/>
  <c r="AN34" i="8"/>
  <c r="AN93" i="8"/>
  <c r="AN65" i="8"/>
  <c r="AN102" i="8"/>
  <c r="AN90" i="8"/>
  <c r="AN98" i="8"/>
  <c r="AN106" i="8"/>
  <c r="AO9" i="8"/>
  <c r="AN103" i="8"/>
  <c r="AN62" i="8"/>
  <c r="AN77" i="8"/>
  <c r="AN104" i="8"/>
  <c r="AN105" i="8"/>
  <c r="AN113" i="8"/>
  <c r="AN15" i="8"/>
  <c r="AN110" i="8"/>
  <c r="AN74" i="8"/>
  <c r="AN99" i="8"/>
  <c r="AN36" i="8"/>
  <c r="AN91" i="8"/>
  <c r="AN66" i="8"/>
  <c r="AN108" i="8"/>
  <c r="AN37" i="8"/>
  <c r="AN71" i="8"/>
  <c r="AN14" i="8"/>
  <c r="AN56" i="8"/>
  <c r="AN61" i="8"/>
  <c r="AN16" i="8"/>
  <c r="AN89" i="8"/>
  <c r="AN46" i="8"/>
  <c r="AN41" i="8"/>
  <c r="AN67" i="8"/>
  <c r="AN29" i="8"/>
  <c r="AN75" i="8"/>
  <c r="AN82" i="8"/>
  <c r="AN43" i="8"/>
  <c r="AN87" i="8"/>
  <c r="AN73" i="8"/>
  <c r="AN72" i="8"/>
  <c r="AN68" i="8"/>
  <c r="AN100" i="8"/>
  <c r="AN50" i="8"/>
  <c r="AN116" i="8"/>
  <c r="AN59" i="8"/>
  <c r="AN32" i="8"/>
  <c r="AN85" i="8"/>
  <c r="AN38" i="8"/>
  <c r="AN17" i="8"/>
  <c r="AN31" i="8"/>
  <c r="AN52" i="8"/>
  <c r="AN18" i="8"/>
  <c r="AN44" i="8"/>
  <c r="AN39" i="8"/>
  <c r="AN49" i="8"/>
  <c r="AN109" i="8"/>
  <c r="AN80" i="8"/>
  <c r="AN40" i="8"/>
  <c r="AN94" i="8"/>
  <c r="AN30" i="8"/>
  <c r="AN111" i="8"/>
  <c r="AN22" i="8"/>
  <c r="AN42" i="8"/>
  <c r="AN118" i="8"/>
  <c r="AN79" i="8"/>
  <c r="AN96" i="8"/>
  <c r="AN112" i="8"/>
  <c r="AN28" i="8"/>
  <c r="AN92" i="8"/>
  <c r="AN48" i="8"/>
  <c r="AN35" i="8"/>
  <c r="AN115" i="8"/>
  <c r="AN11" i="8"/>
  <c r="AN10" i="8"/>
  <c r="AN117" i="8"/>
  <c r="AN47" i="8"/>
  <c r="AN12" i="8"/>
  <c r="AN54" i="8"/>
  <c r="AN26" i="8"/>
  <c r="AN95" i="8"/>
  <c r="AN21" i="8"/>
  <c r="AN76" i="8"/>
  <c r="AN84" i="8"/>
  <c r="AN45" i="8"/>
  <c r="AN107" i="8"/>
  <c r="AN83" i="8"/>
  <c r="AN57" i="8"/>
  <c r="AN25" i="8"/>
  <c r="AN78" i="8"/>
  <c r="AN13" i="8"/>
  <c r="AN19" i="8"/>
  <c r="AN23" i="8"/>
  <c r="AN81" i="8"/>
  <c r="AN27" i="8"/>
  <c r="AN20" i="8"/>
  <c r="AN60" i="8"/>
  <c r="AN51" i="8"/>
  <c r="AN114" i="8"/>
  <c r="AV24" i="33"/>
  <c r="AV37" i="33"/>
  <c r="AV33" i="33"/>
  <c r="AV32" i="33"/>
  <c r="AV25" i="33"/>
  <c r="AV36" i="33"/>
  <c r="AV20" i="33"/>
  <c r="AW33" i="33" s="1"/>
  <c r="AV21" i="33"/>
  <c r="AW24" i="33" s="1"/>
  <c r="AV3" i="33"/>
  <c r="AV19" i="33"/>
  <c r="AV14" i="33"/>
  <c r="AV8" i="33"/>
  <c r="AV7" i="33"/>
  <c r="AV4" i="33"/>
  <c r="AV5" i="33"/>
  <c r="AU15" i="33"/>
  <c r="AU41" i="33" s="1"/>
  <c r="AU16" i="33"/>
  <c r="AU42" i="33" s="1"/>
  <c r="AV28" i="33"/>
  <c r="AO109" i="8" l="1"/>
  <c r="AO48" i="8"/>
  <c r="AO66" i="8"/>
  <c r="AO35" i="8"/>
  <c r="AO43" i="8"/>
  <c r="AO111" i="8"/>
  <c r="AO102" i="8"/>
  <c r="AO76" i="8"/>
  <c r="AO15" i="8"/>
  <c r="AO60" i="8"/>
  <c r="AO24" i="8"/>
  <c r="AO56" i="8"/>
  <c r="AO18" i="8"/>
  <c r="AO34" i="8"/>
  <c r="AO25" i="8"/>
  <c r="AO52" i="8"/>
  <c r="AO85" i="8"/>
  <c r="AO40" i="8"/>
  <c r="AO30" i="8"/>
  <c r="AO26" i="8"/>
  <c r="AO39" i="8"/>
  <c r="AO93" i="8"/>
  <c r="AO19" i="8"/>
  <c r="AO90" i="8"/>
  <c r="AO62" i="8"/>
  <c r="AO98" i="8"/>
  <c r="AO101" i="8"/>
  <c r="AO12" i="8"/>
  <c r="AO11" i="8"/>
  <c r="AO115" i="8"/>
  <c r="AO36" i="8"/>
  <c r="AO94" i="8"/>
  <c r="AO31" i="8"/>
  <c r="AO78" i="8"/>
  <c r="AO22" i="8"/>
  <c r="AO20" i="8"/>
  <c r="AO41" i="8"/>
  <c r="AO63" i="8"/>
  <c r="AO72" i="8"/>
  <c r="AO103" i="8"/>
  <c r="AO16" i="8"/>
  <c r="AO80" i="8"/>
  <c r="AO17" i="8"/>
  <c r="AO57" i="8"/>
  <c r="AO105" i="8"/>
  <c r="AO77" i="8"/>
  <c r="AO45" i="8"/>
  <c r="AO58" i="8"/>
  <c r="AO44" i="8"/>
  <c r="AO51" i="8"/>
  <c r="AO88" i="8"/>
  <c r="AO49" i="8"/>
  <c r="AO83" i="8"/>
  <c r="AO112" i="8"/>
  <c r="AO73" i="8"/>
  <c r="AO92" i="8"/>
  <c r="AO89" i="8"/>
  <c r="AO79" i="8"/>
  <c r="AO75" i="8"/>
  <c r="AO114" i="8"/>
  <c r="AO69" i="8"/>
  <c r="AO42" i="8"/>
  <c r="AO117" i="8"/>
  <c r="AO38" i="8"/>
  <c r="AO14" i="8"/>
  <c r="AO82" i="8"/>
  <c r="AO71" i="8"/>
  <c r="AO32" i="8"/>
  <c r="AP9" i="8"/>
  <c r="AO29" i="8"/>
  <c r="AO84" i="8"/>
  <c r="AO95" i="8"/>
  <c r="AO13" i="8"/>
  <c r="AO110" i="8"/>
  <c r="AO65" i="8"/>
  <c r="AO116" i="8"/>
  <c r="AO81" i="8"/>
  <c r="AO64" i="8"/>
  <c r="AO28" i="8"/>
  <c r="AO118" i="8"/>
  <c r="AO50" i="8"/>
  <c r="AO91" i="8"/>
  <c r="AO61" i="8"/>
  <c r="AO27" i="8"/>
  <c r="AO97" i="8"/>
  <c r="AO106" i="8"/>
  <c r="AO70" i="8"/>
  <c r="AO100" i="8"/>
  <c r="AO37" i="8"/>
  <c r="AO21" i="8"/>
  <c r="AO10" i="8"/>
  <c r="AO96" i="8"/>
  <c r="AO68" i="8"/>
  <c r="AO33" i="8"/>
  <c r="AO59" i="8"/>
  <c r="AO53" i="8"/>
  <c r="AO107" i="8"/>
  <c r="AO108" i="8"/>
  <c r="AO87" i="8"/>
  <c r="AO113" i="8"/>
  <c r="AO54" i="8"/>
  <c r="AO104" i="8"/>
  <c r="AO55" i="8"/>
  <c r="AO46" i="8"/>
  <c r="AO86" i="8"/>
  <c r="AO23" i="8"/>
  <c r="AO67" i="8"/>
  <c r="AO47" i="8"/>
  <c r="AO74" i="8"/>
  <c r="AO99" i="8"/>
  <c r="AW32" i="33"/>
  <c r="AW36" i="33"/>
  <c r="AW29" i="33"/>
  <c r="AW28" i="33"/>
  <c r="AW20" i="33"/>
  <c r="AX36" i="33" s="1"/>
  <c r="AW8" i="33"/>
  <c r="AW21" i="33"/>
  <c r="AX25" i="33" s="1"/>
  <c r="AW3" i="33"/>
  <c r="AW7" i="33"/>
  <c r="AW19" i="33"/>
  <c r="AW14" i="33"/>
  <c r="AW5" i="33"/>
  <c r="AW4" i="33"/>
  <c r="AW37" i="33"/>
  <c r="AV15" i="33"/>
  <c r="AV41" i="33" s="1"/>
  <c r="AV16" i="33"/>
  <c r="AV42" i="33" s="1"/>
  <c r="AW25" i="33"/>
  <c r="AP23" i="8" l="1"/>
  <c r="AP108" i="8"/>
  <c r="AP58" i="8"/>
  <c r="AP31" i="8"/>
  <c r="AP111" i="8"/>
  <c r="AP38" i="8"/>
  <c r="AP102" i="8"/>
  <c r="AP104" i="8"/>
  <c r="AP37" i="8"/>
  <c r="AP14" i="8"/>
  <c r="AP59" i="8"/>
  <c r="AP65" i="8"/>
  <c r="AP34" i="8"/>
  <c r="AP105" i="8"/>
  <c r="AP72" i="8"/>
  <c r="AP43" i="8"/>
  <c r="AP45" i="8"/>
  <c r="AQ9" i="8"/>
  <c r="AP30" i="8"/>
  <c r="AP53" i="8"/>
  <c r="AP88" i="8"/>
  <c r="AP42" i="8"/>
  <c r="AP15" i="8"/>
  <c r="AP40" i="8"/>
  <c r="AP89" i="8"/>
  <c r="AP112" i="8"/>
  <c r="AP27" i="8"/>
  <c r="AP83" i="8"/>
  <c r="AP87" i="8"/>
  <c r="AP55" i="8"/>
  <c r="AP61" i="8"/>
  <c r="AP101" i="8"/>
  <c r="AP11" i="8"/>
  <c r="AP22" i="8"/>
  <c r="AP16" i="8"/>
  <c r="AP94" i="8"/>
  <c r="AP110" i="8"/>
  <c r="AP20" i="8"/>
  <c r="AP32" i="8"/>
  <c r="AP49" i="8"/>
  <c r="AP107" i="8"/>
  <c r="AP75" i="8"/>
  <c r="AP33" i="8"/>
  <c r="AP62" i="8"/>
  <c r="AP56" i="8"/>
  <c r="AP35" i="8"/>
  <c r="AP73" i="8"/>
  <c r="AP95" i="8"/>
  <c r="AP115" i="8"/>
  <c r="AP25" i="8"/>
  <c r="AP117" i="8"/>
  <c r="AP17" i="8"/>
  <c r="AP97" i="8"/>
  <c r="AP77" i="8"/>
  <c r="AP19" i="8"/>
  <c r="AP47" i="8"/>
  <c r="AP96" i="8"/>
  <c r="AP26" i="8"/>
  <c r="AP79" i="8"/>
  <c r="AP85" i="8"/>
  <c r="AP39" i="8"/>
  <c r="AP13" i="8"/>
  <c r="AP103" i="8"/>
  <c r="AP41" i="8"/>
  <c r="AP70" i="8"/>
  <c r="AP81" i="8"/>
  <c r="AP24" i="8"/>
  <c r="AP86" i="8"/>
  <c r="AP99" i="8"/>
  <c r="AP106" i="8"/>
  <c r="AP84" i="8"/>
  <c r="AP78" i="8"/>
  <c r="AP36" i="8"/>
  <c r="AP66" i="8"/>
  <c r="AP80" i="8"/>
  <c r="AP12" i="8"/>
  <c r="AP46" i="8"/>
  <c r="AP114" i="8"/>
  <c r="AP91" i="8"/>
  <c r="AP60" i="8"/>
  <c r="AP116" i="8"/>
  <c r="AP69" i="8"/>
  <c r="AP93" i="8"/>
  <c r="AP71" i="8"/>
  <c r="AP74" i="8"/>
  <c r="AP21" i="8"/>
  <c r="AP57" i="8"/>
  <c r="AP90" i="8"/>
  <c r="AP113" i="8"/>
  <c r="AP54" i="8"/>
  <c r="AP109" i="8"/>
  <c r="AP28" i="8"/>
  <c r="AP118" i="8"/>
  <c r="AP18" i="8"/>
  <c r="AP51" i="8"/>
  <c r="AP64" i="8"/>
  <c r="AP76" i="8"/>
  <c r="AP48" i="8"/>
  <c r="AP68" i="8"/>
  <c r="AP67" i="8"/>
  <c r="AP92" i="8"/>
  <c r="AP100" i="8"/>
  <c r="AP50" i="8"/>
  <c r="AP29" i="8"/>
  <c r="AP44" i="8"/>
  <c r="AP63" i="8"/>
  <c r="AP82" i="8"/>
  <c r="AP10" i="8"/>
  <c r="AP52" i="8"/>
  <c r="AP98" i="8"/>
  <c r="AX32" i="33"/>
  <c r="AX37" i="33"/>
  <c r="AW15" i="33"/>
  <c r="AW41" i="33" s="1"/>
  <c r="AW16" i="33"/>
  <c r="AW42" i="33" s="1"/>
  <c r="AX28" i="33"/>
  <c r="AX29" i="33"/>
  <c r="AX24" i="33"/>
  <c r="AX7" i="33"/>
  <c r="AX5" i="33"/>
  <c r="AX4" i="33"/>
  <c r="AX20" i="33"/>
  <c r="AX21" i="33"/>
  <c r="AX3" i="33"/>
  <c r="AX19" i="33"/>
  <c r="AX14" i="33"/>
  <c r="AX8" i="33"/>
  <c r="AX33" i="33"/>
  <c r="AQ48" i="8" l="1"/>
  <c r="AQ62" i="8"/>
  <c r="AQ37" i="8"/>
  <c r="AQ70" i="8"/>
  <c r="AQ16" i="8"/>
  <c r="AQ39" i="8"/>
  <c r="AQ90" i="8"/>
  <c r="AQ83" i="8"/>
  <c r="AQ54" i="8"/>
  <c r="AQ69" i="8"/>
  <c r="AQ10" i="8"/>
  <c r="AQ45" i="8"/>
  <c r="AQ78" i="8"/>
  <c r="AQ41" i="8"/>
  <c r="AQ31" i="8"/>
  <c r="AQ102" i="8"/>
  <c r="AQ87" i="8"/>
  <c r="AQ105" i="8"/>
  <c r="AQ34" i="8"/>
  <c r="AQ24" i="8"/>
  <c r="AQ20" i="8"/>
  <c r="AQ91" i="8"/>
  <c r="AQ103" i="8"/>
  <c r="AQ68" i="8"/>
  <c r="AQ59" i="8"/>
  <c r="AQ95" i="8"/>
  <c r="AQ80" i="8"/>
  <c r="AQ116" i="8"/>
  <c r="AQ89" i="8"/>
  <c r="AQ73" i="8"/>
  <c r="AQ99" i="8"/>
  <c r="AQ33" i="8"/>
  <c r="AQ43" i="8"/>
  <c r="AQ88" i="8"/>
  <c r="AQ18" i="8"/>
  <c r="AQ112" i="8"/>
  <c r="AQ71" i="8"/>
  <c r="AQ40" i="8"/>
  <c r="AQ15" i="8"/>
  <c r="AQ35" i="8"/>
  <c r="AQ12" i="8"/>
  <c r="AQ100" i="8"/>
  <c r="AQ53" i="8"/>
  <c r="AQ32" i="8"/>
  <c r="AQ81" i="8"/>
  <c r="AQ85" i="8"/>
  <c r="AQ14" i="8"/>
  <c r="AQ86" i="8"/>
  <c r="AQ36" i="8"/>
  <c r="AQ52" i="8"/>
  <c r="AQ74" i="8"/>
  <c r="AQ25" i="8"/>
  <c r="AQ115" i="8"/>
  <c r="AQ104" i="8"/>
  <c r="AQ47" i="8"/>
  <c r="AQ63" i="8"/>
  <c r="AQ22" i="8"/>
  <c r="AQ75" i="8"/>
  <c r="AQ97" i="8"/>
  <c r="AQ107" i="8"/>
  <c r="AQ26" i="8"/>
  <c r="AQ21" i="8"/>
  <c r="AR9" i="8"/>
  <c r="AQ13" i="8"/>
  <c r="AQ109" i="8"/>
  <c r="AQ82" i="8"/>
  <c r="AQ29" i="8"/>
  <c r="AQ72" i="8"/>
  <c r="AQ93" i="8"/>
  <c r="AQ92" i="8"/>
  <c r="AQ46" i="8"/>
  <c r="AQ114" i="8"/>
  <c r="AQ38" i="8"/>
  <c r="AQ50" i="8"/>
  <c r="AQ60" i="8"/>
  <c r="AQ30" i="8"/>
  <c r="AQ49" i="8"/>
  <c r="AQ108" i="8"/>
  <c r="AQ28" i="8"/>
  <c r="AQ27" i="8"/>
  <c r="AQ79" i="8"/>
  <c r="AQ94" i="8"/>
  <c r="AQ118" i="8"/>
  <c r="AQ65" i="8"/>
  <c r="AQ96" i="8"/>
  <c r="AQ98" i="8"/>
  <c r="AQ19" i="8"/>
  <c r="AQ101" i="8"/>
  <c r="AQ51" i="8"/>
  <c r="AQ67" i="8"/>
  <c r="AQ23" i="8"/>
  <c r="AQ42" i="8"/>
  <c r="AQ61" i="8"/>
  <c r="AQ117" i="8"/>
  <c r="AQ113" i="8"/>
  <c r="AQ76" i="8"/>
  <c r="AQ111" i="8"/>
  <c r="AQ44" i="8"/>
  <c r="AQ55" i="8"/>
  <c r="AQ64" i="8"/>
  <c r="AQ17" i="8"/>
  <c r="AQ84" i="8"/>
  <c r="AQ77" i="8"/>
  <c r="AQ106" i="8"/>
  <c r="AQ58" i="8"/>
  <c r="AQ66" i="8"/>
  <c r="AQ57" i="8"/>
  <c r="AQ11" i="8"/>
  <c r="AQ56" i="8"/>
  <c r="AQ110" i="8"/>
  <c r="AY14" i="33"/>
  <c r="AY4" i="33"/>
  <c r="AY8" i="33"/>
  <c r="AY5" i="33"/>
  <c r="AY7" i="33"/>
  <c r="AY20" i="33"/>
  <c r="AZ33" i="33" s="1"/>
  <c r="AY21" i="33"/>
  <c r="AZ29" i="33" s="1"/>
  <c r="AY3" i="33"/>
  <c r="AY19" i="33"/>
  <c r="AY36" i="33"/>
  <c r="AY37" i="33"/>
  <c r="AY33" i="33"/>
  <c r="AY32" i="33"/>
  <c r="AY29" i="33"/>
  <c r="AY28" i="33"/>
  <c r="AY24" i="33"/>
  <c r="AY25" i="33"/>
  <c r="AX15" i="33"/>
  <c r="AX41" i="33" s="1"/>
  <c r="AX16" i="33"/>
  <c r="AX42" i="33" s="1"/>
  <c r="AR118" i="8" l="1"/>
  <c r="AR113" i="8"/>
  <c r="AR88" i="8"/>
  <c r="AR45" i="8"/>
  <c r="AR32" i="8"/>
  <c r="AR57" i="8"/>
  <c r="AR70" i="8"/>
  <c r="AR41" i="8"/>
  <c r="AR83" i="8"/>
  <c r="AR111" i="8"/>
  <c r="AR109" i="8"/>
  <c r="AR94" i="8"/>
  <c r="AR29" i="8"/>
  <c r="AR61" i="8"/>
  <c r="AR40" i="8"/>
  <c r="AR65" i="8"/>
  <c r="AR17" i="8"/>
  <c r="AR53" i="8"/>
  <c r="AR101" i="8"/>
  <c r="AR28" i="8"/>
  <c r="AR23" i="8"/>
  <c r="AR112" i="8"/>
  <c r="AR36" i="8"/>
  <c r="AR24" i="8"/>
  <c r="AR48" i="8"/>
  <c r="AR117" i="8"/>
  <c r="AR74" i="8"/>
  <c r="AR27" i="8"/>
  <c r="AR55" i="8"/>
  <c r="AR38" i="8"/>
  <c r="AR84" i="8"/>
  <c r="AR59" i="8"/>
  <c r="AR66" i="8"/>
  <c r="AR11" i="8"/>
  <c r="AR25" i="8"/>
  <c r="AR14" i="8"/>
  <c r="AR92" i="8"/>
  <c r="AR98" i="8"/>
  <c r="AR103" i="8"/>
  <c r="AR76" i="8"/>
  <c r="AR108" i="8"/>
  <c r="AR16" i="8"/>
  <c r="AR50" i="8"/>
  <c r="AR105" i="8"/>
  <c r="AR100" i="8"/>
  <c r="AR51" i="8"/>
  <c r="AR43" i="8"/>
  <c r="AR96" i="8"/>
  <c r="AR15" i="8"/>
  <c r="AR30" i="8"/>
  <c r="AR49" i="8"/>
  <c r="AR21" i="8"/>
  <c r="AR22" i="8"/>
  <c r="AR54" i="8"/>
  <c r="AR12" i="8"/>
  <c r="AR107" i="8"/>
  <c r="AR85" i="8"/>
  <c r="AR91" i="8"/>
  <c r="AR104" i="8"/>
  <c r="AR34" i="8"/>
  <c r="AR47" i="8"/>
  <c r="AR89" i="8"/>
  <c r="AR110" i="8"/>
  <c r="AR73" i="8"/>
  <c r="AR42" i="8"/>
  <c r="AR63" i="8"/>
  <c r="AR44" i="8"/>
  <c r="AR114" i="8"/>
  <c r="AR72" i="8"/>
  <c r="AR37" i="8"/>
  <c r="AR10" i="8"/>
  <c r="AR31" i="8"/>
  <c r="AR58" i="8"/>
  <c r="AR82" i="8"/>
  <c r="AR99" i="8"/>
  <c r="AR26" i="8"/>
  <c r="AR19" i="8"/>
  <c r="AR81" i="8"/>
  <c r="AR64" i="8"/>
  <c r="AR56" i="8"/>
  <c r="AR35" i="8"/>
  <c r="AR62" i="8"/>
  <c r="AR97" i="8"/>
  <c r="AR106" i="8"/>
  <c r="AR13" i="8"/>
  <c r="AR52" i="8"/>
  <c r="AR77" i="8"/>
  <c r="AR18" i="8"/>
  <c r="AR68" i="8"/>
  <c r="AR75" i="8"/>
  <c r="AR79" i="8"/>
  <c r="AR20" i="8"/>
  <c r="AR67" i="8"/>
  <c r="AR86" i="8"/>
  <c r="AR69" i="8"/>
  <c r="AR46" i="8"/>
  <c r="AR60" i="8"/>
  <c r="AR87" i="8"/>
  <c r="AR90" i="8"/>
  <c r="AR78" i="8"/>
  <c r="AR95" i="8"/>
  <c r="AR116" i="8"/>
  <c r="AR93" i="8"/>
  <c r="AR115" i="8"/>
  <c r="AR80" i="8"/>
  <c r="AR39" i="8"/>
  <c r="AR33" i="8"/>
  <c r="AR71" i="8"/>
  <c r="AR102" i="8"/>
  <c r="AZ32" i="33"/>
  <c r="AZ25" i="33"/>
  <c r="AZ20" i="33"/>
  <c r="BA33" i="33" s="1"/>
  <c r="AZ4" i="33"/>
  <c r="AZ8" i="33"/>
  <c r="AZ21" i="33"/>
  <c r="BA25" i="33" s="1"/>
  <c r="AZ3" i="33"/>
  <c r="AZ19" i="33"/>
  <c r="AZ14" i="33"/>
  <c r="AZ7" i="33"/>
  <c r="AZ5" i="33"/>
  <c r="AY15" i="33"/>
  <c r="AY41" i="33" s="1"/>
  <c r="AY16" i="33"/>
  <c r="AY42" i="33" s="1"/>
  <c r="AZ36" i="33"/>
  <c r="AZ37" i="33"/>
  <c r="AZ28" i="33"/>
  <c r="AZ24" i="33"/>
  <c r="BA28" i="33" l="1"/>
  <c r="BA24" i="33"/>
  <c r="BA36" i="33"/>
  <c r="BA37" i="33"/>
  <c r="BA32" i="33"/>
  <c r="AZ15" i="33"/>
  <c r="AZ41" i="33" s="1"/>
  <c r="AZ16" i="33"/>
  <c r="AZ42" i="33" s="1"/>
  <c r="BA21" i="33"/>
  <c r="BA3" i="33"/>
  <c r="BA19" i="33"/>
  <c r="BA7" i="33"/>
  <c r="BA5" i="33"/>
  <c r="BA14" i="33"/>
  <c r="BA20" i="33"/>
  <c r="BA4" i="33"/>
  <c r="BA8" i="33"/>
  <c r="BA29" i="33"/>
  <c r="BA15" i="33" l="1"/>
  <c r="BA41" i="33" s="1"/>
  <c r="BA16" i="33"/>
  <c r="BA42" i="33" s="1"/>
</calcChain>
</file>

<file path=xl/sharedStrings.xml><?xml version="1.0" encoding="utf-8"?>
<sst xmlns="http://schemas.openxmlformats.org/spreadsheetml/2006/main" count="6689" uniqueCount="474">
  <si>
    <t>Lp.</t>
  </si>
  <si>
    <t>Wyszczególnienie</t>
  </si>
  <si>
    <t>budzet</t>
  </si>
  <si>
    <t>numer</t>
  </si>
  <si>
    <t>nazwajst</t>
  </si>
  <si>
    <t>kodgus</t>
  </si>
  <si>
    <t>gt</t>
  </si>
  <si>
    <t>mswia</t>
  </si>
  <si>
    <t>lp</t>
  </si>
  <si>
    <t>symbol</t>
  </si>
  <si>
    <t>formula</t>
  </si>
  <si>
    <t>wyszczegolnienie</t>
  </si>
  <si>
    <t>wsk243</t>
  </si>
  <si>
    <t>rokprognozy</t>
  </si>
  <si>
    <t>prognoza</t>
  </si>
  <si>
    <t>DataPodjecia</t>
  </si>
  <si>
    <t>DataWejscia</t>
  </si>
  <si>
    <t>Wydatki ogółem</t>
  </si>
  <si>
    <t>Wynik budżetu</t>
  </si>
  <si>
    <t>Przychody budżetu</t>
  </si>
  <si>
    <t xml:space="preserve">Wyciąg danych z tabeli "Wieloletnia prognoza finansowa" wprowadzonych do systemu BESTI@ z wybranej uchwały </t>
  </si>
  <si>
    <t>Dochody ogółem</t>
  </si>
  <si>
    <t>Rok bazowy:</t>
  </si>
  <si>
    <t>Dochody majątkowe, w tym:</t>
  </si>
  <si>
    <t>ze sprzedaży majątku</t>
  </si>
  <si>
    <t>x</t>
  </si>
  <si>
    <t>dochody ze sprzedaży majątku</t>
  </si>
  <si>
    <t>1.1.1</t>
  </si>
  <si>
    <t>1.1.2</t>
  </si>
  <si>
    <t>1.1.3</t>
  </si>
  <si>
    <t>1.1.4</t>
  </si>
  <si>
    <t>1.1.5</t>
  </si>
  <si>
    <t>1.2.1</t>
  </si>
  <si>
    <t>1.2.2</t>
  </si>
  <si>
    <t>2.1.1</t>
  </si>
  <si>
    <t>2.1.2</t>
  </si>
  <si>
    <t>2.1.3</t>
  </si>
  <si>
    <t>2.1.3.1</t>
  </si>
  <si>
    <t>4.1.1</t>
  </si>
  <si>
    <t>4.2.1</t>
  </si>
  <si>
    <t>4.3.1</t>
  </si>
  <si>
    <t>4.4.1</t>
  </si>
  <si>
    <t>Rozchody budżetu</t>
  </si>
  <si>
    <t>5.1.1</t>
  </si>
  <si>
    <t>5.1.1.1</t>
  </si>
  <si>
    <t>Finansowanie programów, projektów lub zadań realizowanych z udziałem środków, o których mowa w art. 5 ust. 1 pkt 2 i 3 ustawy</t>
  </si>
  <si>
    <t>1.1</t>
  </si>
  <si>
    <t>1.2</t>
  </si>
  <si>
    <t>2.1</t>
  </si>
  <si>
    <t>2.2</t>
  </si>
  <si>
    <t>4.1</t>
  </si>
  <si>
    <t>4.2</t>
  </si>
  <si>
    <t>4.3</t>
  </si>
  <si>
    <t>4.4</t>
  </si>
  <si>
    <t>5.1</t>
  </si>
  <si>
    <t>5.2</t>
  </si>
  <si>
    <t>6.1</t>
  </si>
  <si>
    <t>Relacja zrównoważenia wydatków bieżących, o której mowa w art. 242 ustawy</t>
  </si>
  <si>
    <t>8.1</t>
  </si>
  <si>
    <t>8.2</t>
  </si>
  <si>
    <t>Wskaźnik spłaty zobowiązań</t>
  </si>
  <si>
    <t>9.1</t>
  </si>
  <si>
    <t>9.2</t>
  </si>
  <si>
    <t>9.3</t>
  </si>
  <si>
    <t>9.4</t>
  </si>
  <si>
    <t>10.1</t>
  </si>
  <si>
    <t>11.1</t>
  </si>
  <si>
    <t>11.2</t>
  </si>
  <si>
    <t>12.1</t>
  </si>
  <si>
    <t>12.2</t>
  </si>
  <si>
    <t>12.3</t>
  </si>
  <si>
    <t>WYK_N_3</t>
  </si>
  <si>
    <t>WYK_N_2</t>
  </si>
  <si>
    <t>WYK_N_1</t>
  </si>
  <si>
    <t>PLN_N_1</t>
  </si>
  <si>
    <t>dochody z tytułu udziału we wpływach z podatku dochodowego od osób fizycznych</t>
  </si>
  <si>
    <t>dochody z tytułu udziału we wpływach z podatku dochodowego od osób prawnych</t>
  </si>
  <si>
    <t>z podatku od nieruchomości</t>
  </si>
  <si>
    <t>z subwencji ogólnej</t>
  </si>
  <si>
    <t>z tytułu dotacji i środków przeznaczonych na cele bieżące</t>
  </si>
  <si>
    <t>z tytułu dotacji oraz środków przeznaczonych na inwestycje</t>
  </si>
  <si>
    <t>Wydatki bieżące, w tym:</t>
  </si>
  <si>
    <t>z tytułu poręczeń i gwarancji, w tym:</t>
  </si>
  <si>
    <t>wydatki na obsługę długu, w tym:</t>
  </si>
  <si>
    <t>Nadwyżka budżetowa z lat ubiegłych, w tym:</t>
  </si>
  <si>
    <t>na pokrycie deficytu budżetu</t>
  </si>
  <si>
    <t>Kredyty, pożyczki, emisja papierów wartościowych, w tym:</t>
  </si>
  <si>
    <t>Inne przychody niezwiązane z zaciągnięciem długu, w tym:</t>
  </si>
  <si>
    <t>Spłaty rat kapitałowych kredytów i pożyczek oraz wykup papierów wartościowych, w tym:</t>
  </si>
  <si>
    <t>Inne rozchody niezwiązane ze spłatą długu</t>
  </si>
  <si>
    <t>bieżące</t>
  </si>
  <si>
    <t>majątkowe</t>
  </si>
  <si>
    <t>Wydatki bieżące na programy, projekty lub zadania finansowane z udziałem środków, o których mowa w art. 5 ust. 1 pkt 2 i 3 ustawy</t>
  </si>
  <si>
    <t>Wydatki majątkowe na programy, projekty lub zadania finansowane z udziałem środków, o których mowa w art. 5 ust. 1 pkt 2 i 3 ustawy</t>
  </si>
  <si>
    <t>Wydatki bieżące na pokrycie ujemnego wyniku finansowego samodzielnego publicznego zakładu opieki zdrowotnej</t>
  </si>
  <si>
    <t>Wydatki zmniejszające dług, w tym:</t>
  </si>
  <si>
    <t>wypłaty z tytułu wymagalnych poręczeń i gwarancji</t>
  </si>
  <si>
    <t>Różnica między dochodami bieżącymi a wydatkami bieżącymi</t>
  </si>
  <si>
    <t>X</t>
  </si>
  <si>
    <t>rokwzgl</t>
  </si>
  <si>
    <t>5.1.1.2</t>
  </si>
  <si>
    <t>5.1.1.3</t>
  </si>
  <si>
    <t>Dane dotyczące emitowanych obligacji przychodowych</t>
  </si>
  <si>
    <t>odsetki i dyskonto podlegające wyłączeniu z limitu spłaty zobowiązań, o którym mowa w art. 243 ustawy, w terminie nie dłuższym niż 90 dni po zakończeniu programu, projektu lub zadania i otrzymaniu refundacji z tych środków (bez odsetek i dyskonta od zobowiązań na wkład krajowy)</t>
  </si>
  <si>
    <t>Kwota zobowiązań związku współtworzonego przez jednostkę samorządu terytorialnego przypadających do spłaty w danym roku budżetowym, podlegająca doliczeniu zgodnie z art. 244 ustawy</t>
  </si>
  <si>
    <t>Informacja o spełnieniu wskaźnika spłaty zobowiązań określonego w art. 243 ustawy, po uwzględnieniu zobowiązań związku współtworzonego przez jednostkę samorządu terytorialnego oraz po uwzględnieniu ustawowych wyłączeń, obliczonego w oparciu o wykonanie roku poprzedzającego rok budżetowy</t>
  </si>
  <si>
    <t>środki na zaspokojenie roszczeń obligatariuszy</t>
  </si>
  <si>
    <t>Informacja o spełnieniu wskaźnika spłaty zobowiązań określonego w art. 243 ustawy, po uwzględnieniu zobowiązań związku współtworzonego przez jednostkę samorządu terytorialnego oraz po uwzględnieniu ustawowych wyłączeń, obliczonego w oparciu o plan 3 kwartałów roku poprzedzającego rok budżetowy</t>
  </si>
  <si>
    <t>dane z Rb</t>
  </si>
  <si>
    <t>dane z eWPF</t>
  </si>
  <si>
    <t>nrWer</t>
  </si>
  <si>
    <t xml:space="preserve">  Dochody bieżące, z tego:</t>
  </si>
  <si>
    <t xml:space="preserve">    dochody z tytułu udziału we wpływach z podatku dochodowego od osób fizycznych</t>
  </si>
  <si>
    <t xml:space="preserve">    dochody z tytułu udziału we wpływach z podatku dochodowego od osób prawnych</t>
  </si>
  <si>
    <t xml:space="preserve">    z subwencji ogólnej</t>
  </si>
  <si>
    <t xml:space="preserve">    z tytułu dotacji i środków przeznaczonych na cele bieżące</t>
  </si>
  <si>
    <t xml:space="preserve">    pozostałe dochody bieżące, w tym:</t>
  </si>
  <si>
    <t xml:space="preserve">      z podatku od nieruchomości</t>
  </si>
  <si>
    <t xml:space="preserve">  Dochody majątkowe, w tym:</t>
  </si>
  <si>
    <t xml:space="preserve">    ze sprzedaży majątku</t>
  </si>
  <si>
    <t xml:space="preserve">    z tytułu dotacji oraz środków przeznaczonych na inwestycje</t>
  </si>
  <si>
    <t xml:space="preserve">  Wydatki bieżące, w tym:</t>
  </si>
  <si>
    <t xml:space="preserve">    na wynagrodzenia i składki od nich naliczane</t>
  </si>
  <si>
    <t xml:space="preserve">    z tytułu poręczeń i gwarancji, w tym:</t>
  </si>
  <si>
    <t xml:space="preserve">      gwarancje i poręczenia podlegające wyłączeniu z limitu spłaty zobowiązań, o którym mowa w art. 243 ustawy</t>
  </si>
  <si>
    <t xml:space="preserve">    wydatki na obsługę długu, w tym:</t>
  </si>
  <si>
    <t xml:space="preserve">      odsetki i dyskonto podlegające wyłączeniu z limitu spłaty zobowiązań, o którym mowa w art. 243 ustawy, w terminie nie dłuższym niż 90 dni po zakończeniu programu, projektu lub zadania i otrzymaniu refundacji z tych środków (bez odsetek i dyskonta od zobowiązań na wkład krajowy)</t>
  </si>
  <si>
    <t xml:space="preserve">      odsetki i dyskonto podlegające wyłączeniu z limitu spłaty zobowiązań, o którym mowa w art. 243 ustawy, z tytułu zobowiązań  zaciągniętych na wkład krajowy</t>
  </si>
  <si>
    <t xml:space="preserve">  Wydatki majątkowe, w tym:</t>
  </si>
  <si>
    <t xml:space="preserve">    Inwestycje i zakupy inwestycyjne, o których mowa w art. 236 ust. 4 pkt 1 ustawy, w tym:</t>
  </si>
  <si>
    <t xml:space="preserve">      wydatki o charakterze dotacyjnym na inwestycje i zakupy inwestycyjne</t>
  </si>
  <si>
    <t xml:space="preserve">  Kwota prognozowanej nadwyżki budżetu przeznaczana na spłatę kredytów, pożyczek i wykup papierów wartościowych</t>
  </si>
  <si>
    <t xml:space="preserve">  Kredyty, pożyczki, emisja papierów wartościowych, w tym:</t>
  </si>
  <si>
    <t xml:space="preserve">    na pokrycie deficytu budżetu </t>
  </si>
  <si>
    <t xml:space="preserve">  Nadwyżka budżetowa z lat ubiegłych, w tym:</t>
  </si>
  <si>
    <t xml:space="preserve">    na pokrycie deficytu budżetu</t>
  </si>
  <si>
    <t xml:space="preserve">  Wolne środki, o których mowa w art. 217 ust. 2 pkt 6 ustawy, w tym:</t>
  </si>
  <si>
    <t xml:space="preserve">  Spłaty udzielonych pożyczek w latach ubiegłych, w tym:</t>
  </si>
  <si>
    <t xml:space="preserve">  Inne przychody niezwiązane z zaciągnięciem długu, w tym:</t>
  </si>
  <si>
    <t xml:space="preserve">  Spłaty rat kapitałowych kredytów i pożyczek oraz wykup papierów wartościowych, w tym:</t>
  </si>
  <si>
    <t xml:space="preserve">    łączna kwota przypadających na dany rok kwot ustawowych wyłączeń z limitu spłaty zobowiązań, w tym:</t>
  </si>
  <si>
    <t xml:space="preserve">      kwota przypadających na dany rok kwot wyłączeń określonych w art. 243 ust. 3 ustawy</t>
  </si>
  <si>
    <t xml:space="preserve">      kwota przypadających na dany rok kwot wyłączeń określonych w art. 243 ust. 3a ustawy</t>
  </si>
  <si>
    <t xml:space="preserve">      kwota wyłączeń z tytułu wcześniejszej spłaty zobowiązań, określonych w art. 243 ust. 3b  ustawy, z tego:</t>
  </si>
  <si>
    <t xml:space="preserve">        środkami nowego zobowiązania</t>
  </si>
  <si>
    <t xml:space="preserve">        wolnymi środkami, o których mowa w art. 217 ust. 2 pkt 6 ustawy</t>
  </si>
  <si>
    <t xml:space="preserve">        innymi środkami</t>
  </si>
  <si>
    <t xml:space="preserve">  Inne rozchody niezwiązane ze spłatą długu</t>
  </si>
  <si>
    <t>Kwota długu, w tym:</t>
  </si>
  <si>
    <t xml:space="preserve">  kwota długu, którego planowana spłata dokona się z wydatków</t>
  </si>
  <si>
    <t xml:space="preserve">  Różnica między dochodami bieżącymi a  wydatkami bieżącymi</t>
  </si>
  <si>
    <t xml:space="preserve">  Różnica między dochodami bieżącymi, skorygowanymi o środki a wydatkami bieżącymi, pomniejszonymi  o wydatki</t>
  </si>
  <si>
    <t xml:space="preserve">  Relacja określona po lewej stronie nierówności we wzorze, o którym mowa w art. 243 ust. 1 ustawy (po uwzględnieniu zobowiązań związku współtworzonego przez jednostkę samorządu terytorialnego oraz po uwzględnieniu ustawowych wyłączeń przypadających na dany rok)</t>
  </si>
  <si>
    <t xml:space="preserve">  8.1_vROD_2020</t>
  </si>
  <si>
    <t xml:space="preserve">  8.1_vROD_2026</t>
  </si>
  <si>
    <t xml:space="preserve">  Wskaźnik jednoroczny określony po prawej stronie nierówności we wzorze, o którym mowa w art. 243 ust. 1 ustawy, ustalony dla danego roku (wskaźnik jednoroczny)</t>
  </si>
  <si>
    <t xml:space="preserve">  8.2_v2020</t>
  </si>
  <si>
    <t xml:space="preserve">  8.2_v2026</t>
  </si>
  <si>
    <t xml:space="preserve">  Dopuszczalny limit spłaty zobowiązań określony po  prawej stronie  nierówności we wzorze, o którym mowa w art. 243 ustawy, po uwzględnieniu ustawowych wyłączeń, obliczony w oparciu o plan 3 kwartału roku poprzedzającego pierwszy rok prognozy (wskaźnik ustalony w oparciu o średnią arytmetyczną z poprzednich lat)</t>
  </si>
  <si>
    <t xml:space="preserve">    Dopuszczalny limit spłaty zobowiązań określony po  prawej stronie  nierówności we wzorze, o którym mowa w art. 243 ustawy, po uwzględnieniu ustawowych wyłączeń, obliczony w oparciu o wykonanie roku poprzedzającego pierwszy rok prognozy (wskaźnik ustalony w oparciu o średnią arytmetyczną z poprzednich lat)</t>
  </si>
  <si>
    <t xml:space="preserve">  Informacja o spełnieniu wskaźnika spłaty zobowiązań określonego w art. 243 ustawy, po uwzględnieniu zobowiązań związku współtworzonego przez jednostkę samorządu terytorialnego oraz po uwzględnieniu ustawowych wyłączeń, obliczonego w oparciu o plan 3 kwartałów roku poprzedzającego rok budżetowy</t>
  </si>
  <si>
    <t xml:space="preserve">    Informacja o spełnieniu wskaźnika spłaty zobowiązań określonego w art. 243 ustawy, po uwzględnieniu zobowiązań związku współtworzonego przez jednostkę samorządu terytorialnego oraz po uwzględnieniu ustawowych wyłączeń, obliczonego w oparciu o wykonanie roku poprzedzającego rok budżetowy</t>
  </si>
  <si>
    <t xml:space="preserve">  Dochody bieżące na programy, projekty lub zadania finansowane z udziałem środków, o których mowa w art. 5 ust. 1 pkt 2 i 3 ustawy</t>
  </si>
  <si>
    <t xml:space="preserve">    Dotacje i środki o charakterze bieżącym na realizację programu, projektu lub zadania finansowanego z udziałem środków, o których mowa w art. 5 ust. 1 pkt 2 ustawy, w tym:</t>
  </si>
  <si>
    <t xml:space="preserve">      środki określone w art. 5 ust. 1 pkt 2 ustawy</t>
  </si>
  <si>
    <t xml:space="preserve">  Dochody majątkowe na programy, projekty lub zadania finansowane z udziałem środków, o których mowa w art. 5 ust. 1 pkt 2 i 3 ustawy</t>
  </si>
  <si>
    <t xml:space="preserve">    Dochody majątkowe  na programy, projekty lub zadania finansowane z udziałem środków, o których mowa w art. 5 ust. 1 pkt 2 ustawy, w tym:</t>
  </si>
  <si>
    <t xml:space="preserve">  Wydatki bieżące na programy, projekty lub zadania finansowane z udziałem środków, o których mowa w art. 5 ust. 1 pkt 2 i 3 ustawy</t>
  </si>
  <si>
    <t xml:space="preserve">    Wydatki bieżące na programy, projekty lub zadania finansowane z udziałem środków, o których mowa w art. 5 ust. 1 pkt 2 ustawy, w tym:</t>
  </si>
  <si>
    <t xml:space="preserve">      finansowane środkami określonymi w art. 5 ust. 1 pkt 2 ustawy</t>
  </si>
  <si>
    <t xml:space="preserve">  Wydatki majątkowe na programy, projekty lub zadania finansowane z udziałem środków, o których mowa w art. 5 ust. 1 pkt 2 i 3 ustawy</t>
  </si>
  <si>
    <t xml:space="preserve">    Wydatki majątkowe na programy, projekty lub zadania finansowane z udziałem środków, o których mowa w art. 5 ust. 1 pkt 2 ustawy, w tym:</t>
  </si>
  <si>
    <t>Informacje uzupełniające o wybranych kategoriach finansowych</t>
  </si>
  <si>
    <t>Wydatki objęte limitem, o którym mowa w art. 226 ust. 3 pkt 4 ustawy, z tego:</t>
  </si>
  <si>
    <t xml:space="preserve">  bieżące</t>
  </si>
  <si>
    <t xml:space="preserve">  majątkowe</t>
  </si>
  <si>
    <t xml:space="preserve">  Wydatki bieżące na pokrycie ujemnego wyniku finansowego samodzielnego publicznego zakładu opieki zdrowotnej </t>
  </si>
  <si>
    <t xml:space="preserve">  Wydatki na spłatę zobowiązań przejmowanych w związku z likwidacją lub przekształceniem samodzielnego publicznego zakładu opieki zdrowotnej </t>
  </si>
  <si>
    <t xml:space="preserve">  Kwota zobowiązań związku współtworzonego przez jednostkę samorządu terytorialnego przypadających do spłaty w danym roku budżetowym, podlegająca doliczeniu zgodnie z art. 244 ustawy </t>
  </si>
  <si>
    <t xml:space="preserve">  Kwota zobowiązań wynikających z przejęcia przez jednostkę samorządu terytorialnego zobowiązań po likwidowanych i przekształcanych samorządowych osobach prawnych</t>
  </si>
  <si>
    <t xml:space="preserve">  Spłaty, o których mowa w pkt. 5.1., wynikające wyłącznie z tytułu zobowiązań już zaciągniętych</t>
  </si>
  <si>
    <t xml:space="preserve">  Wydatki zmniejszające dług, w tym:</t>
  </si>
  <si>
    <t xml:space="preserve">    spłata zobowiązań wymagalnych z lat poprzednich, innych niż w pkt 10.7.3.</t>
  </si>
  <si>
    <t xml:space="preserve">    spłata zobowiązań zaliczanych do tytułu dłużnego – kredyt i pożyczka, w tym:</t>
  </si>
  <si>
    <t xml:space="preserve">      zobowiązań zaciągniętych po dniu 1 stycznia 2019 r. ,w tym:</t>
  </si>
  <si>
    <t xml:space="preserve">        dokonywana w formie wydatku bieżącego</t>
  </si>
  <si>
    <t xml:space="preserve">    wypłaty z tytułu wymagalnych poręczeń i gwarancji </t>
  </si>
  <si>
    <t xml:space="preserve">  Kwota wzrostu(+)/spadku(-) kwoty długu wynikająca z operacji niekasowych (m.in. umorzenia, różnice kursowe)</t>
  </si>
  <si>
    <t xml:space="preserve">  Wcześniejsza spłata zobowiązań, wyłączona z limitu spłaty zobowiązań, dokonywana w formie wydatków budżetowych</t>
  </si>
  <si>
    <t xml:space="preserve">  Środki z przedsięwzięcia gromadzone na rachunku bankowym,  w tym:</t>
  </si>
  <si>
    <t xml:space="preserve">    środki na zaspokojenie roszczeń obligatariuszy </t>
  </si>
  <si>
    <t xml:space="preserve">  Wydatki bieżące z tytułu świadczenia emitenta należnego obligatariuszom,  nieuwzględniane  w limicie spłaty zobowiązań </t>
  </si>
  <si>
    <t>Stopnie niezachowania relacji określonych w art. 242-244 w przypadku określonym w ... ustawy</t>
  </si>
  <si>
    <t xml:space="preserve">  Stopień niezachowania relacji zrównoważenia wydatków bieżących,  o której mowa w poz. 7.2.</t>
  </si>
  <si>
    <t xml:space="preserve">  Stopień niezachowania wskaźnika spłaty zobowiązań,  o którym mowa w poz. 8.4.</t>
  </si>
  <si>
    <t xml:space="preserve">  Stopień niezachowania wskaźnika spłaty zobowiązań,  o którym mowa w poz. 8.4.1.</t>
  </si>
  <si>
    <t>1.1.5.1</t>
  </si>
  <si>
    <t>2.1.2.1</t>
  </si>
  <si>
    <t>2.1.3.2</t>
  </si>
  <si>
    <t>2.2.1</t>
  </si>
  <si>
    <t>2.2.1.1</t>
  </si>
  <si>
    <t>4.5.1</t>
  </si>
  <si>
    <t>5.1.1.3.1</t>
  </si>
  <si>
    <t>5.1.1.3.2</t>
  </si>
  <si>
    <t>5.1.1.3.3</t>
  </si>
  <si>
    <t>8.1_vROD_2020</t>
  </si>
  <si>
    <t>8.1_vROD_2026</t>
  </si>
  <si>
    <t>8.2_v2020</t>
  </si>
  <si>
    <t>8.2_v2026</t>
  </si>
  <si>
    <t>8.3.1</t>
  </si>
  <si>
    <t>8.4.1</t>
  </si>
  <si>
    <t>9.1.1</t>
  </si>
  <si>
    <t>9.1.1.1</t>
  </si>
  <si>
    <t>9.2.1</t>
  </si>
  <si>
    <t>9.2.1.1</t>
  </si>
  <si>
    <t>9.3.1</t>
  </si>
  <si>
    <t>9.3.1.1</t>
  </si>
  <si>
    <t>9.4.1</t>
  </si>
  <si>
    <t>9.4.1.1</t>
  </si>
  <si>
    <t>10.1.1</t>
  </si>
  <si>
    <t>10.1.2</t>
  </si>
  <si>
    <t>10.7.1</t>
  </si>
  <si>
    <t>10.7.2</t>
  </si>
  <si>
    <t>10.7.2.1</t>
  </si>
  <si>
    <t>10.7.2.1.1</t>
  </si>
  <si>
    <t>10.7.3</t>
  </si>
  <si>
    <t>11.1.1</t>
  </si>
  <si>
    <t>3.1</t>
  </si>
  <si>
    <t>4.5</t>
  </si>
  <si>
    <t>7.1</t>
  </si>
  <si>
    <t>7.2</t>
  </si>
  <si>
    <t>8.3</t>
  </si>
  <si>
    <t>8.4</t>
  </si>
  <si>
    <t>10.2</t>
  </si>
  <si>
    <t>10.3</t>
  </si>
  <si>
    <t>10.4</t>
  </si>
  <si>
    <t>10.5</t>
  </si>
  <si>
    <t>10.6</t>
  </si>
  <si>
    <t>10.7</t>
  </si>
  <si>
    <t>10.8</t>
  </si>
  <si>
    <t>10.9</t>
  </si>
  <si>
    <t>Dochody bieżące, z tego:</t>
  </si>
  <si>
    <t>pozostałe dochody bieżące, w tym:</t>
  </si>
  <si>
    <t>na wynagrodzenia i składki od nich naliczane</t>
  </si>
  <si>
    <t>gwarancje i poręczenia podlegające wyłączeniu z limitu spłaty zobowiązań, o którym mowa w art. 243 ustawy</t>
  </si>
  <si>
    <t>odsetki i dyskonto podlegające wyłączeniu z limitu spłaty zobowiązań, o którym mowa w art. 243 ustawy, z tytułu zobowiązań zaciągniętych na wkład krajowy</t>
  </si>
  <si>
    <t>Wydatki majątkowe, w tym:</t>
  </si>
  <si>
    <t>Inwestycje i zakupy inwestycyjne, o których mowa w art. 236 ust. 4 pkt 1 ustawy, w tym:</t>
  </si>
  <si>
    <t>wydatki o charakterze dotacyjnym na inwestycje i zakupy inwestycyjne</t>
  </si>
  <si>
    <t>Kwota prognozowanej nadwyżki budżetu przeznaczana na spłatę kredytów, pożyczek i wykup papierów wartościowych</t>
  </si>
  <si>
    <t>Wolne środki, o których mowa w art. 217 ust. 2 pkt 6 ustawy, w tym:</t>
  </si>
  <si>
    <t>Spłaty udzielonych pożyczek w latach ubiegłych, w tym:</t>
  </si>
  <si>
    <t>łączna kwota przypadających na dany rok kwot ustawowych wyłączeń z limitu spłaty zobowiązań, w tym:</t>
  </si>
  <si>
    <t>kwota przypadających na dany rok kwot wyłączeń określonych w art. 243 ust. 3 ustawy</t>
  </si>
  <si>
    <t>kwota przypadających na dany rok kwot wyłączeń określonych w art. 243 ust. 3a ustawy</t>
  </si>
  <si>
    <t>kwota wyłączeń z tytułu wcześniejszej spłaty zobowiązań, określonych w art. 243 ust. 3b ustawy, z tego:</t>
  </si>
  <si>
    <t>środkami nowego zobowiązania</t>
  </si>
  <si>
    <t>wolnymi środkami, o których mowa w art. 217 ust. 2 pkt 6 ustawy</t>
  </si>
  <si>
    <t>innymi środkami</t>
  </si>
  <si>
    <t>kwota długu, którego planowana spłata dokona się z wydatków</t>
  </si>
  <si>
    <t>Relacja określona po lewej stronie nierówności we wzorze, o którym mowa w art. 243 ust. 1 ustawy (po uwzględnieniu zobowiązań związku współtworzonego przez jednostkę samorządu terytorialnego oraz po uwzględnieniu ustawowych wyłączeń przypadających na dany rok)</t>
  </si>
  <si>
    <t>Dopuszczalny limit spłaty zobowiązań określony po prawej stronie nierówności we wzorze, o którym mowa w art. 243 ustawy, po uwzględnieniu ustawowych wyłączeń, obliczony w oparciu o plan 3 kwartału roku poprzedzającego pierwszy rok prognozy (wskaźnik ustalony w oparciu o średnią arytmetyczną z poprzednich lat)</t>
  </si>
  <si>
    <t>Dopuszczalny limit spłaty zobowiązań określony po prawej stronie nierówności we wzorze, o którym mowa w art. 243 ustawy, po uwzględnieniu ustawowych wyłączeń, obliczony w oparciu o wykonanie roku poprzedzającego pierwszy rok prognozy (wskaźnik ustalony w oparciu o średnią arytmetyczną z poprzednich lat)</t>
  </si>
  <si>
    <t>Dochody bieżące na programy, projekty lub zadania finansowane z udziałem środków, o których mowa w art. 5 ust. 1 pkt 2 i 3 ustawy</t>
  </si>
  <si>
    <t>Dotacje i środki o charakterze bieżącym na realizację programu, projektu lub zadania finansowanego z udziałem środków, o których mowa w art. 5 ust. 1 pkt 2 ustawy, w tym:</t>
  </si>
  <si>
    <t>środki określone w art. 5 ust. 1 pkt 2 ustawy</t>
  </si>
  <si>
    <t>Dochody majątkowe na programy, projekty lub zadania finansowane z udziałem środków, o których mowa w art. 5 ust. 1 pkt 2 i 3 ustawy</t>
  </si>
  <si>
    <t>Dochody majątkowe na programy, projekty lub zadania finansowane z udziałem środków, o których mowa w art. 5 ust. 1 pkt 2 ustawy, w tym:</t>
  </si>
  <si>
    <t>Wydatki bieżące na programy, projekty lub zadania finansowane z udziałem środków, o których mowa w art. 5 ust. 1 pkt 2 ustawy, w tym:</t>
  </si>
  <si>
    <t>finansowane środkami określonymi w art. 5 ust. 1 pkt 2 ustawy</t>
  </si>
  <si>
    <t>Wydatki majątkowe na programy, projekty lub zadania finansowane z udziałem środków, o których mowa w art. 5 ust. 1 pkt 2 ustawy, w tym:</t>
  </si>
  <si>
    <t>Wydatki na spłatę zobowiązań przejmowanych w związku z likwidacją lub przekształceniem samodzielnego publicznego zakładu opieki zdrowotnej</t>
  </si>
  <si>
    <t>Kwota zobowiązań wynikających z przejęcia przez jednostkę samorządu terytorialnego zobowiązań po likwidowanych i przekształcanych samorządowych osobach prawnych</t>
  </si>
  <si>
    <t>Spłaty, o których mowa w pkt. 5.1., wynikające wyłącznie z tytułu zobowiązań już zaciągniętych</t>
  </si>
  <si>
    <t>spłata zobowiązań wymagalnych z lat poprzednich, innych niż w pkt 10.7.3.</t>
  </si>
  <si>
    <t>spłata zobowiązań zaliczanych do tytułu dłużnego – kredyt i pożyczka, w tym:</t>
  </si>
  <si>
    <t>zobowiązań zaciągniętych po dniu 1 stycznia 2019 r. ,w tym:</t>
  </si>
  <si>
    <t>dokonywana w formie wydatku bieżącego</t>
  </si>
  <si>
    <t>Kwota wzrostu(+)/spadku(-) kwoty długu wynikająca z operacji niekasowych (m.in. umorzenia, różnice kursowe)</t>
  </si>
  <si>
    <t>Wcześniejsza spłata zobowiązań, wyłączona z limitu spłaty zobowiązań, dokonywana w formie wydatków budżetowych</t>
  </si>
  <si>
    <t>Środki z przedsięwzięcia gromadzone na rachunku bankowym, w tym:</t>
  </si>
  <si>
    <t>Wydatki bieżące z tytułu świadczenia emitenta należnego obligatariuszom, nieuwzględniane w limicie spłaty zobowiązań</t>
  </si>
  <si>
    <t>Stopień niezachowania relacji zrównoważenia wydatków bieżących, o której mowa w poz. 7.2.</t>
  </si>
  <si>
    <t>Stopień niezachowania wskaźnika spłaty zobowiązań, o którym mowa w poz. 8.4.</t>
  </si>
  <si>
    <t>Stopień niezachowania wskaźnika spłaty zobowiązań, o którym mowa w poz. 8.4.1.</t>
  </si>
  <si>
    <t>dochody bieżące</t>
  </si>
  <si>
    <t>dochody majątkowe</t>
  </si>
  <si>
    <t>wydatki bieżące</t>
  </si>
  <si>
    <t>wydatki na obsługę długu</t>
  </si>
  <si>
    <t>wydatki majątkowe</t>
  </si>
  <si>
    <t>kwota długu</t>
  </si>
  <si>
    <t>wydatki na wynagrodzenia i pochodne</t>
  </si>
  <si>
    <t xml:space="preserve">   wydatki bieżące na przedsięwzięcia</t>
  </si>
  <si>
    <t xml:space="preserve">   wydatki majątkowe na przedsięwzięcia</t>
  </si>
  <si>
    <t>spłata rat kapitałowych (kredyty, pożyczki, obligacje)</t>
  </si>
  <si>
    <t>nadwyżka operacyjna (Db-Wb)</t>
  </si>
  <si>
    <t>(R + O) / Db</t>
  </si>
  <si>
    <t>średnia z art. 243 (plan III kw N-1)</t>
  </si>
  <si>
    <t>średnia z art. 243 (wykonanie IV kw N-1)</t>
  </si>
  <si>
    <t>6</t>
  </si>
  <si>
    <t>RokMaxProg</t>
  </si>
  <si>
    <t>RokBazowy</t>
  </si>
  <si>
    <t>Data</t>
  </si>
  <si>
    <t>Wersja</t>
  </si>
  <si>
    <t>Opis zmian</t>
  </si>
  <si>
    <t>2019-12-10a</t>
  </si>
  <si>
    <r>
      <t xml:space="preserve">W arkuszach </t>
    </r>
    <r>
      <rPr>
        <b/>
        <sz val="11"/>
        <color indexed="8"/>
        <rFont val="Arial Narrow"/>
        <family val="2"/>
        <charset val="238"/>
      </rPr>
      <t>_bazowy</t>
    </r>
    <r>
      <rPr>
        <sz val="11"/>
        <color indexed="8"/>
        <rFont val="Arial Narrow"/>
        <family val="2"/>
        <charset val="238"/>
      </rPr>
      <t xml:space="preserve"> oraz </t>
    </r>
    <r>
      <rPr>
        <b/>
        <sz val="11"/>
        <color indexed="8"/>
        <rFont val="Arial Narrow"/>
        <family val="2"/>
        <charset val="238"/>
      </rPr>
      <t>_analiza</t>
    </r>
    <r>
      <rPr>
        <sz val="11"/>
        <color indexed="8"/>
        <rFont val="Arial Narrow"/>
        <family val="2"/>
        <charset val="238"/>
      </rPr>
      <t xml:space="preserve"> wprowadzono identyczne formuły analityczne i weryfikacyjne jak w raporcie "Analiza WPF …"</t>
    </r>
  </si>
  <si>
    <t>Wsk</t>
  </si>
  <si>
    <t>Relacja określona po prawej stronie nierówności we wzorze, o którym mowa w art. 243 ust. 1 ustawy, ustalona dla danego roku (wskaźnik jednoroczny)</t>
  </si>
  <si>
    <t>Różnica między dochodami bieżącymi, skorygowanymi o środki a wydatkami bieżącymi</t>
  </si>
  <si>
    <t>2019-12-30a</t>
  </si>
  <si>
    <t>Dodano arkusz "Instrukcja"</t>
  </si>
  <si>
    <t>2020-02-18a</t>
  </si>
  <si>
    <t>2020-05-20a</t>
  </si>
  <si>
    <t>Poprawiono obszar "Wybrane relacje i wskaźniki ekonomiczne" - relacja D+P=W+R (dodając w formułach nie ujętą odpowiednio poz. 10.7.2.1.1)</t>
  </si>
  <si>
    <t>E2333918-AEDC-41E2-92D9-42FD8D446858</t>
  </si>
  <si>
    <t>61187675-DC89-4B08-9577-422B8F598D98</t>
  </si>
  <si>
    <t>DU 2019.1903</t>
  </si>
  <si>
    <t xml:space="preserve">Dostosowano raport do nowego wzoru WPF (Dz.U. 2019, poz. 1903/Dz.U. 2020, poz. 568) </t>
  </si>
  <si>
    <t>A7F0A429-BA06-407F-B3B0-20A4503092D3</t>
  </si>
  <si>
    <t>2.1.3.3</t>
  </si>
  <si>
    <t>5.1.1.4</t>
  </si>
  <si>
    <t>art15zoc_ZD</t>
  </si>
  <si>
    <t>art15zoc_8.1_ROD</t>
  </si>
  <si>
    <t>art15zoc_8.4</t>
  </si>
  <si>
    <t>art15zoc_8.4.1</t>
  </si>
  <si>
    <t>10.10</t>
  </si>
  <si>
    <t>10.11</t>
  </si>
  <si>
    <t>udziały w PIT</t>
  </si>
  <si>
    <t>udziały w CIT</t>
  </si>
  <si>
    <t>subwencja ogólna</t>
  </si>
  <si>
    <t>dotacje i środki na cele bieżące</t>
  </si>
  <si>
    <t>podatek od nieruchomości</t>
  </si>
  <si>
    <t xml:space="preserve">pozostałe odsetki i dyskonto podlegające wyłączeniu z limitu spłaty zobowiązań, o którym mowa w art. 243 ustawy </t>
  </si>
  <si>
    <t>kwota przypadających na dany rok kwot pozostałych ustawowych wyłączeń z limitu spłaty zobowiązań</t>
  </si>
  <si>
    <t>relacja kwoty długu do dochodów ogółem</t>
  </si>
  <si>
    <t xml:space="preserve">Relacja kwoty długu do dochodów ogółem </t>
  </si>
  <si>
    <r>
      <t xml:space="preserve">Relacja określona po lewej stronie nierówności we wzorze, o którym mowa w art. 243 ust. 1 ustawy (po uwzględnieniu zobowiązań związku współtworzonego przez jednostkę samorządu terytorialnego oraz po uwzględnieniu ustawowych wyłączeń </t>
    </r>
    <r>
      <rPr>
        <b/>
        <u/>
        <sz val="9"/>
        <color indexed="8"/>
        <rFont val="Times New Roman"/>
        <family val="1"/>
        <charset val="238"/>
      </rPr>
      <t>bez art. 15zob ust. 1</t>
    </r>
    <r>
      <rPr>
        <sz val="9"/>
        <color indexed="8"/>
        <rFont val="Times New Roman"/>
        <family val="1"/>
        <charset val="238"/>
      </rPr>
      <t xml:space="preserve"> przypadających na dany rok)</t>
    </r>
  </si>
  <si>
    <r>
      <t xml:space="preserve">Informacja o spełnieniu wskaźnika spłaty zobowiązań określonego w art. 243 ustawy, po uwzględnieniu zobowiązań związku współtworzonego przez jednostkę samorządu terytorialnego oraz po uwzględnieniu ustawowych wyłączeń </t>
    </r>
    <r>
      <rPr>
        <b/>
        <u/>
        <sz val="9"/>
        <color indexed="8"/>
        <rFont val="Times New Roman"/>
        <family val="1"/>
        <charset val="238"/>
      </rPr>
      <t>bez art. 15zob ust. 1</t>
    </r>
    <r>
      <rPr>
        <sz val="9"/>
        <color indexed="8"/>
        <rFont val="Times New Roman"/>
        <family val="1"/>
        <charset val="238"/>
      </rPr>
      <t>, obliczonego w oparciu o plan 3 kwartałów roku poprzedzającego rok budżetowy</t>
    </r>
  </si>
  <si>
    <r>
      <t xml:space="preserve">Informacja o spełnieniu wskaźnika spłaty zobowiązań określonego w art. 243 ustawy, po uwzględnieniu zobowiązań związku współtworzonego przez jednostkę samorządu terytorialnego oraz po uwzględnieniu ustawowych wyłączeń </t>
    </r>
    <r>
      <rPr>
        <b/>
        <u/>
        <sz val="9"/>
        <color indexed="8"/>
        <rFont val="Times New Roman"/>
        <family val="1"/>
        <charset val="238"/>
      </rPr>
      <t>bez art. 15zob ust. 1</t>
    </r>
    <r>
      <rPr>
        <sz val="9"/>
        <color indexed="8"/>
        <rFont val="Times New Roman"/>
        <family val="1"/>
        <charset val="238"/>
      </rPr>
      <t>, obliczonego w oparciu o wykonanie roku poprzedzającego rok budżetowy</t>
    </r>
  </si>
  <si>
    <t xml:space="preserve">Wykup papierów wartościowych, spłaty rat kredytów i pożyczek wraz z należnymi odsetkami i dyskontem, odpowiednio emitowanych lub zaciągniętych do równowartości kwoty ubytku w wykonanych dochodach jednostki samorządu terytorialnego będącego skutkiem wystąpienia COVID-19 </t>
  </si>
  <si>
    <t>Wydatki bieżące podlegające ustawowemu wyłączeniu z limitu spłaty zobowiązań</t>
  </si>
  <si>
    <t>[(5.1-5.1.1+(10.7.2.1-10.9)+(2.1.2-2.1.2.1)+(2.1.3-(2.1.3.1+2.1.3.2 + 2.1.3.3.)+10.4)]/(1.1-1.1.4-11.1.1)</t>
  </si>
  <si>
    <t>art. 15zob ust. 1 ([1.1-9.1.1-11.1.1]-[2.1-9.3.1-10.7.2.1.1-2.1.3  - 10.11])/[1.1-1.1.4-11.1.1]</t>
  </si>
  <si>
    <t>[(5.1-5.1.1+(10.7.2.1-10.9)+(2.1.2-2.1.2.1)+(2.1.3-(2.1.3.1+2.1.3.2 + 2.1.3.3.)+10.4+10.10)]/(1.1-1.1.4-11.1.1)</t>
  </si>
  <si>
    <t>2020-08-14a</t>
  </si>
  <si>
    <t>DU 2020.1381</t>
  </si>
  <si>
    <t>Rozbudowano obszar "Wybrane relacje i wskaźniki ekonomiczne"</t>
  </si>
  <si>
    <t>Dostosowano raport do nowego wzoru WPF (Dz.U. 2020, poz. 1381), przy czym "WPF_Analiza" działa w oparciu o najnowsze formuły i regulacje</t>
  </si>
  <si>
    <t>2020-09-01a</t>
  </si>
  <si>
    <t>poprawiono wyliczanie wskaźników: Maksymalna kwota dodatkowych spłat nie naruszająca (R+O)/Db</t>
  </si>
  <si>
    <t>IdRozp</t>
  </si>
  <si>
    <t>Model analizy zawarty w tym raporcie został opracowany przez: Zespół ds. IT przy KR RIO przy współpracy ze Związkiem Miast Polskich</t>
  </si>
  <si>
    <t>2020-10-21a</t>
  </si>
  <si>
    <t>2020-09-01b</t>
  </si>
  <si>
    <t>poprawiono opis wskaźników: Maksymalna kwota dodatkowych spłat nie naruszająca (R+O)/Db</t>
  </si>
  <si>
    <t>Dodano w Symulacji wiersze umożliwiające analizę wpływu dochodów i wydatków na projekty z udziałem środków z art.. 5 […] - ocena wpływu na poz. 9.3.1</t>
  </si>
  <si>
    <t>Naprawiono problem z obszarem danych do importu</t>
  </si>
  <si>
    <t>2021-08-30a</t>
  </si>
  <si>
    <t>Wprowadzony zmiany na WPF_Analiza eliminujące problem z niekompletnymi danymi o wykonaniu z roku N-1 z poz. 1.1.1-1.1.5 
(tj. takimi które nie dają w sumie poz. 1.1)</t>
  </si>
  <si>
    <t>Zmieniono wpływ poz. "ZMIANA innych DOCHODÓW MAJĄTKOWYCH " na WPF_Analiza - obecnie modyfikuje wyłącznie poz. 2.1</t>
  </si>
  <si>
    <t>Srednia</t>
  </si>
  <si>
    <t>DU 2020.1381/2021.1927</t>
  </si>
  <si>
    <t>WYK_N_7</t>
  </si>
  <si>
    <t>WYK_N_6</t>
  </si>
  <si>
    <t>WYK_N_5</t>
  </si>
  <si>
    <t>WYK_N_4</t>
  </si>
  <si>
    <t>Średnia 7-letnia</t>
  </si>
  <si>
    <t>Średnia 3-letnia</t>
  </si>
  <si>
    <t>Dostosowano raport do obsługi wzorca uwzględniającego wybrany przez organ wykonawczy JST wariant średniej (Dz.U. 2021 poz. 1927)</t>
  </si>
  <si>
    <t>2021-11-14a</t>
  </si>
  <si>
    <t>2021-11-22a</t>
  </si>
  <si>
    <t>Połączono funkcjonalności raportów "Analiza WPF" z funkcjami "Symulacja Ogólna"</t>
  </si>
  <si>
    <t>UWAGA! 
Ze względu na konstrukcję raportu tj. zawarte w nim formuły liczące oraz powiązania pomiędzy arkuszami - nie należy łączyć czynności edycyjnych w arkuszu WPF_Analiza (m.in. poprzez wprowadzanie nowych kwot prognoz) z edycją danych w zakładce Symulacja.  
Nadpisanie formuł w arkuszu WPF_Analiza, w komórkach oznaczonych kolorem niebieskim, spowoduje przerwanie powiązań z arkuszem Symulacja, a nadpisanie formuł w komórkach z tłem zielonym spowoduje nieprawidłowe sumowanie kwot.</t>
  </si>
  <si>
    <t xml:space="preserve">W zależności od wybranego sposobu pracy w wygenerowanym raporcie (modelu analizy) dane należy wprowadzać:
   ALBO do obszaru "Dane do symulacji" znajdującego się w arkuszu "Symulacja" 
   ALBO w komórki arkusza WPF_Analiza oznaczone niebieskim tłem. 
Edycja innych obszarów może doprowadzić do skasowania albo nieprawidłowej zmiany formuł i w konsekwencji do uzyskania nieprawidłowych wyników. </t>
  </si>
  <si>
    <t xml:space="preserve">Sprawdzone i zweryfikowane dane znajdujące się w arkuszu "WPF_Analiza" można wczytać do Systemu BeSTi@ funkcją "Importuj dane", znajdującą się w menu Plik, z poziomu załącznika WPF w BeSTii.
</t>
  </si>
  <si>
    <t xml:space="preserve">Użytkownicy raportu posiadający odpowiednią wiedzę umożliwiającą samodzielne budowanie formuł obliczeniowych w arkuszu kalkulacyjnym mogą wykorzystywać również "Obszar notatek" (np. do sporządzenia wykazu zjawisk ujętych w symulacji wraz z ich skutkamii finansowymi) - co może być szczególnie przydatne przy symulacji restrukturyzacji spłat długu wymagającej w kroku 1 wyeliminowania z analizowanego WPF restrukturyzowanego zobowiązania (odrębnie rat i odrębnie wydatków na obsługę długu) oraz w kroku 2 wprowadzeniem nowego zrestrukturyzowanego zobowiązania.
</t>
  </si>
  <si>
    <t xml:space="preserve">Poniżej obszaru "Dane do symulacji" znajduje się zestawienie podstawowych wskaźników i relacji przed oraz z uwzględnieniem wprowadzonych zmian.
</t>
  </si>
  <si>
    <t xml:space="preserve">Na wszystkich arkuszach modelu użyto konspektów (symbole konspektu dotyczącego wierszy znajdują się po lewej stronie arkusza, zaś symbole konspektu dotyczące kolumn znajdują sie nad arkuszem danych). 
Pozwala to dostosować w zależności od potrzeb ilość widocznych na ekranie danych (im wyższy symbol konspektu tym więcej szczegółów). 
</t>
  </si>
  <si>
    <r>
      <t>Na aruszach "</t>
    </r>
    <r>
      <rPr>
        <b/>
        <sz val="11"/>
        <color indexed="8"/>
        <rFont val="Arial Narrow"/>
        <family val="2"/>
        <charset val="238"/>
      </rPr>
      <t>WPF_bazowy</t>
    </r>
    <r>
      <rPr>
        <sz val="11"/>
        <color indexed="8"/>
        <rFont val="Arial Narrow"/>
        <family val="2"/>
        <charset val="238"/>
      </rPr>
      <t>" oraz "</t>
    </r>
    <r>
      <rPr>
        <b/>
        <sz val="11"/>
        <color indexed="8"/>
        <rFont val="Arial Narrow"/>
        <family val="2"/>
        <charset val="238"/>
      </rPr>
      <t>WPF_Analiza</t>
    </r>
    <r>
      <rPr>
        <sz val="11"/>
        <color indexed="8"/>
        <rFont val="Arial Narrow"/>
        <family val="2"/>
        <charset val="238"/>
      </rPr>
      <t xml:space="preserve">" pod obszarem zawierającym wieloletnią prognozę finansową zawarto obszary:
</t>
    </r>
    <r>
      <rPr>
        <b/>
        <sz val="11"/>
        <color indexed="8"/>
        <rFont val="Arial Narrow"/>
        <family val="2"/>
        <charset val="238"/>
      </rPr>
      <t xml:space="preserve"> - Analiza WPF wg przepływu środków pieniężnych
 - Wybrane relacje i wskaźniki ekonomiczne
 - Analiza ryzyka niespełnienia wskaźnika z art. 243
 - Weryfikacja danych wykazanych w tabeli Wieloletnia Prognoza Finansowa. 
</t>
    </r>
    <r>
      <rPr>
        <sz val="11"/>
        <color indexed="8"/>
        <rFont val="Arial Narrow"/>
        <family val="2"/>
        <charset val="238"/>
      </rPr>
      <t xml:space="preserve">W trakcie analizy (przeprowadzania symulacji) należy zwrócić szczególną uwagę na informacje zawarte w obszarze "Weryfikacja danych ... ", gdyż prezentowane są w nim wszelkie ewentualne błędy rachunkowe i logiczne niespójności (np. niezrównoważenie budżetu, nieprawidłowo rozpisana spłata kwoty długu, itp.)
</t>
    </r>
  </si>
  <si>
    <t xml:space="preserve">Model analityczny zawiera również (na zakładce "rysunki") prezentację graficzną 
wybranego WPF (pobranego z BeSTii do zakładki WPF_Bazowy) oraz WPF z uwzględnieniem zmian (WPF_Analiza)
</t>
  </si>
  <si>
    <t xml:space="preserve">Wynik analizy/symulacji znajduje się na zakładce "WPF_Analiza" stanowiąc sumę informacji zawartych w: 
zakładce "WPF_bazowy" oraz odpowiednich pozycji na zakładce "Symulacje" (WPF_bazowy + Symulacje  = WPF_Analiza)
Każdy z wierszy obszaru "Dane do symulacji" oprócz tytułu wskazującego na jego przeznaczenie został opatrzyny (w kol. E) opisem wpływu na pozycjie WPF.
</t>
  </si>
  <si>
    <t>Informacje dot. modelu Symulacja</t>
  </si>
  <si>
    <t>Informacje wspólne dot. Analizy WPF i Symulacji</t>
  </si>
  <si>
    <t>2021-12-07a</t>
  </si>
  <si>
    <t>Poprawiono formułę w komórce X114 na WPF_Bazowy</t>
  </si>
  <si>
    <t>8.1_vROD_2023</t>
  </si>
  <si>
    <t xml:space="preserve">  8.1_vROD_2023</t>
  </si>
  <si>
    <t>art7_1</t>
  </si>
  <si>
    <t>[6]/(([1]-[1.1.4]-[1.2.2])+(([4.2]+[4.3]+[4.4]+[4.5])-([4.2.1]+[4.3.1]+[4.4.1]+[4.5.1]))</t>
  </si>
  <si>
    <t>2022-10-11a</t>
  </si>
  <si>
    <t>Relacja łącznej kwoty długu do dochodów ogółem, pomniejszonych o planowane kwoty dotacji i środki o pododbnym charakterze oraz powiększone o przychody z tytułów określonych w art. 217 ust. 2 pkt 4-8, nieprzeznaczone na sfinansowanie deficytu budżetowego (art. 7 ust. 1 ustawy Dz.U.2022.1964)</t>
  </si>
  <si>
    <t>0BF9DF19-DA64-4B00-A747-914311C5F0CA</t>
  </si>
  <si>
    <t>Dz.U. 2019 poz. 1903 / Dz.U. 2020 poz. 568</t>
  </si>
  <si>
    <t>946D3E9A-8E5B-411F-933B-6A165CBCEA65</t>
  </si>
  <si>
    <t>Dz.U.2020.1381/Dz.U.2022.1964</t>
  </si>
  <si>
    <t>Dostosowano raport do nowego wzoru WPF (Dz.U.2020.1381/2022.1964), z uwzględnieniem Dz.U.2022.1692 (dodatek węglowy)</t>
  </si>
  <si>
    <t>NIE ANALIZOWAĆ PONIŻSZEJ TABELI (dane w arkukszu "WPF_Bazowy" mają wyliczone wskaźniki w pozycji 8.1 z uwzględnieniem art. 28 ustawy o dodatku węglowym)</t>
  </si>
  <si>
    <t>8.2_v2020 (plan)</t>
  </si>
  <si>
    <t>8.2_v2020 (wyk)</t>
  </si>
  <si>
    <t>8.2_v2026 (plan)</t>
  </si>
  <si>
    <t>8.2_v2026 (wyk)</t>
  </si>
  <si>
    <t>wskaźniki jednoroczne z WPF_Analiza</t>
  </si>
  <si>
    <t>Obszar techniczny - wyliczenie średnich do przeniesienia do WPF_Analiza</t>
  </si>
  <si>
    <t>Poprzedni (stary) Obszar techniczny (wyłącznie dla 2022 r.) obecnie nie używany</t>
  </si>
  <si>
    <t>Srednia =  0  dla wariant 3 letni / Srednia =  1 dla wariant 7 letni</t>
  </si>
  <si>
    <t>Średnia 7-letnia (wg wyboru JST - tylko do 2025 włącznie)</t>
  </si>
  <si>
    <t>Średnia 3-letnia (wg wyboru JST - tylko do 2025 włącznie)</t>
  </si>
  <si>
    <t>Porównanie z WPF_Bazowy</t>
  </si>
  <si>
    <t>Wyliczenie</t>
  </si>
  <si>
    <t>8.2_v2020 (plan)  + v2026prognoza</t>
  </si>
  <si>
    <t>8.2_v2020 (wyk) + v2026prognoza</t>
  </si>
  <si>
    <t xml:space="preserve">Średnia 7-letnia (wg art. 243 ust. 2a - Dsm) - zawsze od 2026 r. </t>
  </si>
  <si>
    <t>Średnia 7-letnia (stosowana zawsze od 2026) - nieaktualne</t>
  </si>
  <si>
    <t>do 2024 r. włącznie([1.1-9.1.1-11.1.1]-[2.1-9.3.1-10.7.2.1.1-11.2]+1.2.1)/[1.1- 1.1.4-11.1.1]
do 2024 r. włącznie (art.. 31zl)   ([1.1-9.1.1-11.1.1]-[2.1-9.3.1-10.7.2.1.1-2.1.3]+1.2.1)/[1.1- 1.1.4-11.1.1]
do 2024 r. włącznie (art.15zob) ([1.1-9.1.1-11.1.1]-[2.1-9.3.1-10.7.2.1.1-2.1.3 - 10.11]+1.2.1)/[1.1- 1.1.4-11.1.1]
art. 243 ust. 2a - dane historyczne ([1.1-9.1.1-11.1.1]-[2.1-9.3.1-10.7.2.1.1-2.1.3 - 10.11]+1.2.1)/[1.1- 1.1.4-11.1.1]</t>
  </si>
  <si>
    <t>946D</t>
  </si>
  <si>
    <t>0BF9</t>
  </si>
  <si>
    <t>A7F0</t>
  </si>
  <si>
    <t>E233</t>
  </si>
  <si>
    <t>6118</t>
  </si>
  <si>
    <t>rzp_id</t>
  </si>
  <si>
    <t>Opis</t>
  </si>
  <si>
    <t>E20BC324-5EAC-4415-ABB9-4D857AB90A24</t>
  </si>
  <si>
    <t xml:space="preserve">Raport pobiera dane z załącznika WPF do zakładki "WPF_bazowy" z wybranego w systemie BeSTi@ dokumentu w sprawie wieloletniej prognozy finansowej sporządzonego w oparciu o wzorzec zawarty w Dz.U. 2021 poz. 83 z uwzględniem zmian ustawą z Dz.U. 2024 poz. 1756.
Model analityczny zapisany w formułach raportu umożliwia ocenę wpływu zmian prognozowanych kwot w głównych pozycjach WPF związanych z relacjami określonymi art. 242-244 uofp na sytuację finansową JST.
</t>
  </si>
  <si>
    <t>Dz.U.2021.83/Dz.U.2024.1756</t>
  </si>
  <si>
    <t>2024-12-11a</t>
  </si>
  <si>
    <t/>
  </si>
  <si>
    <t>Relacja łącznej kwoty długu do dochodów ogółem, pomniejszonych o planowane kwoty dotacji i środki o pododbnym charakterze oraz powiększone o przychody z tytułów określonych w art. 217 ust. 2 pkt 4-8, nieprzeznaczone na sfinansowanie deficytu budżetowego (art. 7 ust. 1 ustawy Dz.U.2022.1964/art. 296c ustawy Dz.U.2024.1756)</t>
  </si>
  <si>
    <t>do 2021 = [1.1]-[2.1]+[4.2]+[4.3] na 2022-2029 = [1.1]-[2.1]+[4.2]+[4.3]+[4.4] od 2030 = [1.1]-[2.1]+[4.2]+[4.4 ]</t>
  </si>
  <si>
    <t>w latach 2023-2029 [(5.1-5.1.1+(10.7.2.1-10.9)+(2.1.3-(2.1.3.1+2.1.3.2 + 2.1.3.3.)+10.4)]/(1.1-1.1.4-11.1.1)</t>
  </si>
  <si>
    <t>Nazwy serii (rysunki) / Formuły</t>
  </si>
  <si>
    <t>art 243 ust. 2a ([1.1-9.1.1-11.1.1]-[2.1-9.3.1-10.7.2.1.1-2.1.3 - 10.11]+1.2.1)/[1.1- 1.1.4-11.1.1]</t>
  </si>
  <si>
    <t>([1.1-9.1.1-11.1.1]-[2.1-9.3.1-10.7.2.1.1-2.1.3  - 10.11])/[1.1-1.1.4-11.1.1]</t>
  </si>
  <si>
    <t>Dostosowano raport do nowego wzoru WPF (Dz.U.2021.83/2024.1756), usunięto zakładkę "dodatek węglowy"</t>
  </si>
  <si>
    <t>U12</t>
  </si>
  <si>
    <t>SZCZECINEK</t>
  </si>
  <si>
    <t>([5.1]-[5.1.1]+([10.7.2.1]-[10.9])+([2.1.3]-([2.1.3.1]+[2.1.3.2]+[2.1.3.3])+[10.4]))/([1.1]-[1.1.4]-[11.1.1])</t>
  </si>
  <si>
    <t>(([1.1]-[9.1.1]-[11.1.1])-([2.1]-[9.3.1]-[10.7.2.1.1]-[2.1.3]-[10.11]))/([1.1]-[1.1.4]-[11.1.1])</t>
  </si>
  <si>
    <t>[8.3.1]-[8.1]</t>
  </si>
  <si>
    <t xml:space="preserve">  Stopień niezachowania wskaźnika spłaty zobowiązań, o którym mowa w poz. 8.4.1</t>
  </si>
  <si>
    <t xml:space="preserve">    spłata zobowiązań wymagalnych z lat poprzednich, innych niż w poz. 10.7.3</t>
  </si>
  <si>
    <t>[6]/(([1]-[1.1.4]-[1.2.2])+(([4.2]+[4.3]+[4.4]+[4.5])-([4.2.1]+[4.3.1]+[4.4.1]+[4.5.1])))</t>
  </si>
  <si>
    <t>Relacja łącznej kwoty długu do dochodów ogółem, pomniejszonych o planowane kwoty dotacji i środków o podobnym charakterze oraz powiększone o przychody z tytułów określonych w art. 217 ust. 2 pkt 4-8 uofp, nieprzeznaczone na sfinansowanie deficytu budżetowego (art. 7 ust. 1 ustawy Dz.U.2022.1964/art. 296c Dz.U.2024.1756)</t>
  </si>
  <si>
    <t>Finansowanie programów, projektów lub zadań realizowanych z udziałem środków, o których mowa w art. 5 ust. 1 pkt 2 i 3  ustawy</t>
  </si>
  <si>
    <t xml:space="preserve">      kwota przypadających na dany rok kwot pozostałych ustawowych wyłączeń z limitu spłaty zobowiązań</t>
  </si>
  <si>
    <t>[2.1] + [2.2]</t>
  </si>
  <si>
    <t>[8.3]-[8.1]</t>
  </si>
  <si>
    <t>[7.2]</t>
  </si>
  <si>
    <t xml:space="preserve">  Stopień niezachowania relacji zrównoważenia wydatków bieżących, o której mowa w poz. 7.2</t>
  </si>
  <si>
    <t>([5.1]-[5.1.1]+([10.7.2.1]-[10.9])+([2.1.2]-[2.1.2.1])+([2.1.3]-([2.1.3.1]+[2.1.3.2]+[2.1.3.3])+[10.4]))/([1.1]-[1.1.4]-[11.1.1])</t>
  </si>
  <si>
    <t xml:space="preserve">  Różnica między dochodami bieżącymi, skorygowanymi o środki a wydatkami bieżącymi</t>
  </si>
  <si>
    <t xml:space="preserve">    Dochody majątkowe na programy, projekty lub zadania finansowane z udziałem środków, o których mowa w art. 5 ust. 1 pkt 2 ustawy, w tym:</t>
  </si>
  <si>
    <t>[1.1] + [1.2]</t>
  </si>
  <si>
    <t>[1.1] - [2.1]</t>
  </si>
  <si>
    <t>[4.1] + [4.2] + [4.3] + [4.4] + [4.5]</t>
  </si>
  <si>
    <t xml:space="preserve">    Dopuszczalny limit spłaty zobowiązań określony po prawej stronie nierówności we wzorze, o którym mowa w art. 243 ustawy, po uwzględnieniu ustawowych wyłączeń, obliczony w oparciu o wykonanie roku poprzedzającego pierwszy rok prognozy (wskaźnik ustalony w oparciu o średnią arytmetyczną z poprzednich lat)</t>
  </si>
  <si>
    <t xml:space="preserve">  Dopuszczalny limit spłaty zobowiązań określony po prawej stronie nierówności we wzorze, o którym mowa w art. 243 ustawy, po uwzględnieniu ustawowych wyłączeń, obliczony w oparciu o plan 3 kwartału roku poprzedzającego pierwszy rok prognozy (wskaźnik ustalony w oparciu o średnią arytmetyczną z poprzednich lat)</t>
  </si>
  <si>
    <t xml:space="preserve">  Wykup papierów wartościowych, spłaty rat kredytów i pożyczek wraz z należnymi odsetkami i dyskontem, odpowiednio emitowanych lub zaciągniętych do równowartości kwoty ubytku w wykonanych dochodach jednostki samorządu terytorialnego będącego skutkiem wystąpienia COVID-19</t>
  </si>
  <si>
    <t>(([1.1]-[9.1.1]-[11.1.1])-([2.1]-[9.3.1]-[10.7.2.1.1]-[2.1.3]-[10.11])+[1.2.1])/([1.1]-[1.1.4]-[11.1.1])</t>
  </si>
  <si>
    <t>[5.1] + [5.2]</t>
  </si>
  <si>
    <t>[10.1.1] + [10.1.2]</t>
  </si>
  <si>
    <t xml:space="preserve">  Wydatki bieżące podlegające ustawowemu wyłączeniu z limitu spłaty zobowiązań</t>
  </si>
  <si>
    <t xml:space="preserve">  Wydatki bieżące z tytułu świadczenia emitenta należnego obligatariuszom, nieuwzględniane w limicie spłaty zobowiązań</t>
  </si>
  <si>
    <t>[1] - [2]</t>
  </si>
  <si>
    <t xml:space="preserve">[5.1.1.1] + [5.1.1.2] + [5.1.1.3] + [5.1.1.4]_x000D_
</t>
  </si>
  <si>
    <t xml:space="preserve">    łączna kwota przypadających na dany rok kwot ustawowych wyłączeń z limitu spłaty zobowiązań, z tego:</t>
  </si>
  <si>
    <t>Stopnie niezachowania relacji określonych w art. 242-244 ustawy w przypadku określonym w ... ustawy</t>
  </si>
  <si>
    <t xml:space="preserve">  Środki z przedsięwzięcia gromadzone na rachunku bankowym, w tym:</t>
  </si>
  <si>
    <t xml:space="preserve">  Relacja określona po prawej stronie nierówności we wzorze, o którym mowa w art. 243 ust. 1 ustawy, ustalona dla danego roku (wskaźnik jednoroczny)</t>
  </si>
  <si>
    <t xml:space="preserve">      pozostałe odsetki i dyskonto podlegające wyłączeniu z limitu spłaty zobowiązań, o którym mowa w art. 243 ustawy</t>
  </si>
  <si>
    <t xml:space="preserve">  Spłaty, o których mowa w poz. 5.1, wynikające wyłącznie z tytułu zobowiązań już zaciągniętych</t>
  </si>
  <si>
    <t>[5.1.1.3.1] + [5.1.1.3.2] + [5.1.1.3.3]</t>
  </si>
  <si>
    <t xml:space="preserve">  Stopień niezachowania wskaźnika spłaty zobowiązań, o którym mowa w poz. 8.4</t>
  </si>
  <si>
    <t>WIELOLETNIA PROGNOZA FINANSOWA GMINY SZCZECINEK NA LATA 2025 - 2038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</si>
</sst>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75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9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9"/>
      <color indexed="8"/>
      <name val="Czcionka tekstu podstawowego"/>
      <family val="2"/>
      <charset val="238"/>
    </font>
    <font>
      <b/>
      <sz val="9"/>
      <color indexed="8"/>
      <name val="Czcionka tekstu podstawowego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8"/>
      <name val="Times New Roman"/>
      <family val="1"/>
      <charset val="238"/>
    </font>
    <font>
      <sz val="9"/>
      <color indexed="8"/>
      <name val="Arial Narrow"/>
      <family val="2"/>
      <charset val="238"/>
    </font>
    <font>
      <sz val="11"/>
      <color indexed="8"/>
      <name val="Arial Narrow"/>
      <family val="2"/>
      <charset val="238"/>
    </font>
    <font>
      <b/>
      <sz val="11"/>
      <color indexed="8"/>
      <name val="Arial Narrow"/>
      <family val="2"/>
      <charset val="238"/>
    </font>
    <font>
      <b/>
      <u/>
      <sz val="9"/>
      <color indexed="8"/>
      <name val="Times New Roman"/>
      <family val="1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  <font>
      <b/>
      <sz val="9"/>
      <color theme="1"/>
      <name val="Czcionka tekstu podstawowego"/>
      <charset val="238"/>
    </font>
    <font>
      <sz val="9"/>
      <color theme="1"/>
      <name val="Czcionka tekstu podstawowego"/>
      <family val="2"/>
      <charset val="238"/>
    </font>
    <font>
      <sz val="8"/>
      <color theme="1"/>
      <name val="Czcionka tekstu podstawowego"/>
      <family val="2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9"/>
      <color rgb="FFFF0000"/>
      <name val="Czcionka tekstu podstawowego"/>
      <charset val="238"/>
    </font>
    <font>
      <sz val="8"/>
      <color theme="1"/>
      <name val="Arial Narrow"/>
      <family val="2"/>
      <charset val="238"/>
    </font>
    <font>
      <b/>
      <i/>
      <sz val="9"/>
      <color rgb="FF0000FF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sz val="11"/>
      <color rgb="FFFF0000"/>
      <name val="Czcionka tekstu podstawowego"/>
      <family val="2"/>
      <charset val="238"/>
    </font>
    <font>
      <sz val="9"/>
      <color rgb="FFFF0000"/>
      <name val="Times New Roman"/>
      <family val="1"/>
      <charset val="238"/>
    </font>
    <font>
      <sz val="10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b/>
      <strike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zcionka tekstu podstawowego"/>
      <charset val="238"/>
    </font>
    <font>
      <b/>
      <i/>
      <sz val="24"/>
      <color indexed="8"/>
      <name val="Czcionka tekstu podstawowego"/>
      <charset val="238"/>
    </font>
    <font>
      <sz val="24"/>
      <color theme="1"/>
      <name val="Czcionka tekstu podstawowego"/>
      <charset val="238"/>
    </font>
  </fonts>
  <fills count="6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4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10">
    <xf numFmtId="0" fontId="0" fillId="0" borderId="0"/>
    <xf numFmtId="0" fontId="1" fillId="2" borderId="0" applyNumberFormat="0" applyBorder="0" applyAlignment="0" applyProtection="0"/>
    <xf numFmtId="0" fontId="34" fillId="24" borderId="0" applyNumberFormat="0" applyBorder="0" applyAlignment="0" applyProtection="0"/>
    <xf numFmtId="0" fontId="1" fillId="3" borderId="0" applyNumberFormat="0" applyBorder="0" applyAlignment="0" applyProtection="0"/>
    <xf numFmtId="0" fontId="34" fillId="25" borderId="0" applyNumberFormat="0" applyBorder="0" applyAlignment="0" applyProtection="0"/>
    <xf numFmtId="0" fontId="1" fillId="4" borderId="0" applyNumberFormat="0" applyBorder="0" applyAlignment="0" applyProtection="0"/>
    <xf numFmtId="0" fontId="34" fillId="26" borderId="0" applyNumberFormat="0" applyBorder="0" applyAlignment="0" applyProtection="0"/>
    <xf numFmtId="0" fontId="1" fillId="5" borderId="0" applyNumberFormat="0" applyBorder="0" applyAlignment="0" applyProtection="0"/>
    <xf numFmtId="0" fontId="34" fillId="27" borderId="0" applyNumberFormat="0" applyBorder="0" applyAlignment="0" applyProtection="0"/>
    <xf numFmtId="0" fontId="1" fillId="6" borderId="0" applyNumberFormat="0" applyBorder="0" applyAlignment="0" applyProtection="0"/>
    <xf numFmtId="0" fontId="34" fillId="28" borderId="0" applyNumberFormat="0" applyBorder="0" applyAlignment="0" applyProtection="0"/>
    <xf numFmtId="0" fontId="1" fillId="7" borderId="0" applyNumberFormat="0" applyBorder="0" applyAlignment="0" applyProtection="0"/>
    <xf numFmtId="0" fontId="34" fillId="29" borderId="0" applyNumberFormat="0" applyBorder="0" applyAlignment="0" applyProtection="0"/>
    <xf numFmtId="0" fontId="1" fillId="8" borderId="0" applyNumberFormat="0" applyBorder="0" applyAlignment="0" applyProtection="0"/>
    <xf numFmtId="0" fontId="34" fillId="30" borderId="0" applyNumberFormat="0" applyBorder="0" applyAlignment="0" applyProtection="0"/>
    <xf numFmtId="0" fontId="1" fillId="9" borderId="0" applyNumberFormat="0" applyBorder="0" applyAlignment="0" applyProtection="0"/>
    <xf numFmtId="0" fontId="34" fillId="31" borderId="0" applyNumberFormat="0" applyBorder="0" applyAlignment="0" applyProtection="0"/>
    <xf numFmtId="0" fontId="1" fillId="10" borderId="0" applyNumberFormat="0" applyBorder="0" applyAlignment="0" applyProtection="0"/>
    <xf numFmtId="0" fontId="34" fillId="32" borderId="0" applyNumberFormat="0" applyBorder="0" applyAlignment="0" applyProtection="0"/>
    <xf numFmtId="0" fontId="1" fillId="5" borderId="0" applyNumberFormat="0" applyBorder="0" applyAlignment="0" applyProtection="0"/>
    <xf numFmtId="0" fontId="34" fillId="33" borderId="0" applyNumberFormat="0" applyBorder="0" applyAlignment="0" applyProtection="0"/>
    <xf numFmtId="0" fontId="1" fillId="8" borderId="0" applyNumberFormat="0" applyBorder="0" applyAlignment="0" applyProtection="0"/>
    <xf numFmtId="0" fontId="34" fillId="34" borderId="0" applyNumberFormat="0" applyBorder="0" applyAlignment="0" applyProtection="0"/>
    <xf numFmtId="0" fontId="1" fillId="11" borderId="0" applyNumberFormat="0" applyBorder="0" applyAlignment="0" applyProtection="0"/>
    <xf numFmtId="0" fontId="34" fillId="35" borderId="0" applyNumberFormat="0" applyBorder="0" applyAlignment="0" applyProtection="0"/>
    <xf numFmtId="0" fontId="10" fillId="12" borderId="0" applyNumberFormat="0" applyBorder="0" applyAlignment="0" applyProtection="0"/>
    <xf numFmtId="0" fontId="35" fillId="36" borderId="0" applyNumberFormat="0" applyBorder="0" applyAlignment="0" applyProtection="0"/>
    <xf numFmtId="0" fontId="10" fillId="9" borderId="0" applyNumberFormat="0" applyBorder="0" applyAlignment="0" applyProtection="0"/>
    <xf numFmtId="0" fontId="35" fillId="37" borderId="0" applyNumberFormat="0" applyBorder="0" applyAlignment="0" applyProtection="0"/>
    <xf numFmtId="0" fontId="10" fillId="10" borderId="0" applyNumberFormat="0" applyBorder="0" applyAlignment="0" applyProtection="0"/>
    <xf numFmtId="0" fontId="35" fillId="38" borderId="0" applyNumberFormat="0" applyBorder="0" applyAlignment="0" applyProtection="0"/>
    <xf numFmtId="0" fontId="10" fillId="13" borderId="0" applyNumberFormat="0" applyBorder="0" applyAlignment="0" applyProtection="0"/>
    <xf numFmtId="0" fontId="35" fillId="39" borderId="0" applyNumberFormat="0" applyBorder="0" applyAlignment="0" applyProtection="0"/>
    <xf numFmtId="0" fontId="10" fillId="14" borderId="0" applyNumberFormat="0" applyBorder="0" applyAlignment="0" applyProtection="0"/>
    <xf numFmtId="0" fontId="35" fillId="40" borderId="0" applyNumberFormat="0" applyBorder="0" applyAlignment="0" applyProtection="0"/>
    <xf numFmtId="0" fontId="10" fillId="15" borderId="0" applyNumberFormat="0" applyBorder="0" applyAlignment="0" applyProtection="0"/>
    <xf numFmtId="0" fontId="35" fillId="41" borderId="0" applyNumberFormat="0" applyBorder="0" applyAlignment="0" applyProtection="0"/>
    <xf numFmtId="0" fontId="10" fillId="16" borderId="0" applyNumberFormat="0" applyBorder="0" applyAlignment="0" applyProtection="0"/>
    <xf numFmtId="0" fontId="35" fillId="42" borderId="0" applyNumberFormat="0" applyBorder="0" applyAlignment="0" applyProtection="0"/>
    <xf numFmtId="0" fontId="10" fillId="17" borderId="0" applyNumberFormat="0" applyBorder="0" applyAlignment="0" applyProtection="0"/>
    <xf numFmtId="0" fontId="35" fillId="43" borderId="0" applyNumberFormat="0" applyBorder="0" applyAlignment="0" applyProtection="0"/>
    <xf numFmtId="0" fontId="10" fillId="18" borderId="0" applyNumberFormat="0" applyBorder="0" applyAlignment="0" applyProtection="0"/>
    <xf numFmtId="0" fontId="35" fillId="44" borderId="0" applyNumberFormat="0" applyBorder="0" applyAlignment="0" applyProtection="0"/>
    <xf numFmtId="0" fontId="10" fillId="13" borderId="0" applyNumberFormat="0" applyBorder="0" applyAlignment="0" applyProtection="0"/>
    <xf numFmtId="0" fontId="35" fillId="45" borderId="0" applyNumberFormat="0" applyBorder="0" applyAlignment="0" applyProtection="0"/>
    <xf numFmtId="0" fontId="10" fillId="14" borderId="0" applyNumberFormat="0" applyBorder="0" applyAlignment="0" applyProtection="0"/>
    <xf numFmtId="0" fontId="35" fillId="46" borderId="0" applyNumberFormat="0" applyBorder="0" applyAlignment="0" applyProtection="0"/>
    <xf numFmtId="0" fontId="10" fillId="19" borderId="0" applyNumberFormat="0" applyBorder="0" applyAlignment="0" applyProtection="0"/>
    <xf numFmtId="0" fontId="35" fillId="47" borderId="0" applyNumberFormat="0" applyBorder="0" applyAlignment="0" applyProtection="0"/>
    <xf numFmtId="0" fontId="11" fillId="7" borderId="1" applyNumberFormat="0" applyAlignment="0" applyProtection="0"/>
    <xf numFmtId="0" fontId="36" fillId="48" borderId="36" applyNumberFormat="0" applyAlignment="0" applyProtection="0"/>
    <xf numFmtId="0" fontId="12" fillId="20" borderId="2" applyNumberFormat="0" applyAlignment="0" applyProtection="0"/>
    <xf numFmtId="0" fontId="37" fillId="49" borderId="37" applyNumberFormat="0" applyAlignment="0" applyProtection="0"/>
    <xf numFmtId="0" fontId="13" fillId="4" borderId="0" applyNumberFormat="0" applyBorder="0" applyAlignment="0" applyProtection="0"/>
    <xf numFmtId="0" fontId="38" fillId="50" borderId="0" applyNumberFormat="0" applyBorder="0" applyAlignment="0" applyProtection="0"/>
    <xf numFmtId="0" fontId="14" fillId="0" borderId="3" applyNumberFormat="0" applyFill="0" applyAlignment="0" applyProtection="0"/>
    <xf numFmtId="0" fontId="39" fillId="0" borderId="38" applyNumberFormat="0" applyFill="0" applyAlignment="0" applyProtection="0"/>
    <xf numFmtId="0" fontId="15" fillId="21" borderId="4" applyNumberFormat="0" applyAlignment="0" applyProtection="0"/>
    <xf numFmtId="0" fontId="40" fillId="51" borderId="39" applyNumberFormat="0" applyAlignment="0" applyProtection="0"/>
    <xf numFmtId="0" fontId="16" fillId="0" borderId="5" applyNumberFormat="0" applyFill="0" applyAlignment="0" applyProtection="0"/>
    <xf numFmtId="0" fontId="41" fillId="0" borderId="40" applyNumberFormat="0" applyFill="0" applyAlignment="0" applyProtection="0"/>
    <xf numFmtId="0" fontId="17" fillId="0" borderId="6" applyNumberFormat="0" applyFill="0" applyAlignment="0" applyProtection="0"/>
    <xf numFmtId="0" fontId="42" fillId="0" borderId="41" applyNumberFormat="0" applyFill="0" applyAlignment="0" applyProtection="0"/>
    <xf numFmtId="0" fontId="18" fillId="0" borderId="7" applyNumberFormat="0" applyFill="0" applyAlignment="0" applyProtection="0"/>
    <xf numFmtId="0" fontId="43" fillId="0" borderId="42" applyNumberFormat="0" applyFill="0" applyAlignment="0" applyProtection="0"/>
    <xf numFmtId="0" fontId="18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44" fillId="52" borderId="0" applyNumberFormat="0" applyBorder="0" applyAlignment="0" applyProtection="0"/>
    <xf numFmtId="0" fontId="45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6" fillId="0" borderId="0"/>
    <xf numFmtId="0" fontId="6" fillId="0" borderId="0"/>
    <xf numFmtId="0" fontId="5" fillId="0" borderId="0" applyProtection="0"/>
    <xf numFmtId="0" fontId="2" fillId="0" borderId="0"/>
    <xf numFmtId="0" fontId="1" fillId="0" borderId="0"/>
    <xf numFmtId="0" fontId="26" fillId="0" borderId="0"/>
    <xf numFmtId="0" fontId="6" fillId="0" borderId="0"/>
    <xf numFmtId="0" fontId="34" fillId="0" borderId="0"/>
    <xf numFmtId="0" fontId="34" fillId="0" borderId="0"/>
    <xf numFmtId="0" fontId="33" fillId="0" borderId="0"/>
    <xf numFmtId="0" fontId="20" fillId="20" borderId="1" applyNumberFormat="0" applyAlignment="0" applyProtection="0"/>
    <xf numFmtId="0" fontId="46" fillId="49" borderId="36" applyNumberFormat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0" borderId="8" applyNumberFormat="0" applyFill="0" applyAlignment="0" applyProtection="0"/>
    <xf numFmtId="0" fontId="47" fillId="0" borderId="43" applyNumberFormat="0" applyFill="0" applyAlignment="0" applyProtection="0"/>
    <xf numFmtId="0" fontId="22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" fillId="23" borderId="9" applyNumberFormat="0" applyFont="0" applyAlignment="0" applyProtection="0"/>
    <xf numFmtId="0" fontId="34" fillId="53" borderId="44" applyNumberFormat="0" applyFont="0" applyAlignment="0" applyProtection="0"/>
    <xf numFmtId="0" fontId="25" fillId="3" borderId="0" applyNumberFormat="0" applyBorder="0" applyAlignment="0" applyProtection="0"/>
    <xf numFmtId="0" fontId="51" fillId="54" borderId="0" applyNumberFormat="0" applyBorder="0" applyAlignment="0" applyProtection="0"/>
  </cellStyleXfs>
  <cellXfs count="146">
    <xf numFmtId="0" fontId="0" fillId="0" borderId="0" xfId="0"/>
    <xf numFmtId="0" fontId="8" fillId="0" borderId="0" xfId="0" applyFont="1"/>
    <xf numFmtId="0" fontId="52" fillId="0" borderId="0" xfId="0" applyFont="1"/>
    <xf numFmtId="0" fontId="53" fillId="0" borderId="10" xfId="0" applyFont="1" applyBorder="1" applyAlignment="1">
      <alignment horizontal="center" vertical="center"/>
    </xf>
    <xf numFmtId="0" fontId="54" fillId="0" borderId="0" xfId="0" applyFont="1" applyAlignment="1">
      <alignment horizontal="right"/>
    </xf>
    <xf numFmtId="1" fontId="55" fillId="0" borderId="0" xfId="0" applyNumberFormat="1" applyFont="1" applyAlignment="1">
      <alignment horizontal="center" vertical="center"/>
    </xf>
    <xf numFmtId="164" fontId="55" fillId="0" borderId="0" xfId="0" applyNumberFormat="1" applyFont="1" applyAlignment="1">
      <alignment vertical="center"/>
    </xf>
    <xf numFmtId="2" fontId="55" fillId="0" borderId="0" xfId="0" applyNumberFormat="1" applyFont="1" applyAlignment="1">
      <alignment vertical="center"/>
    </xf>
    <xf numFmtId="49" fontId="55" fillId="0" borderId="0" xfId="0" applyNumberFormat="1" applyFont="1" applyAlignment="1">
      <alignment vertical="center"/>
    </xf>
    <xf numFmtId="0" fontId="55" fillId="0" borderId="0" xfId="0" applyFont="1" applyAlignment="1">
      <alignment vertical="center"/>
    </xf>
    <xf numFmtId="14" fontId="55" fillId="0" borderId="0" xfId="0" applyNumberFormat="1" applyFont="1" applyAlignment="1">
      <alignment vertical="center"/>
    </xf>
    <xf numFmtId="1" fontId="0" fillId="0" borderId="0" xfId="0" applyNumberFormat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55" fillId="0" borderId="0" xfId="0" applyFont="1"/>
    <xf numFmtId="0" fontId="56" fillId="0" borderId="11" xfId="0" applyFont="1" applyBorder="1" applyAlignment="1">
      <alignment horizontal="left" vertical="center"/>
    </xf>
    <xf numFmtId="164" fontId="4" fillId="0" borderId="12" xfId="81" applyNumberFormat="1" applyFont="1" applyBorder="1" applyAlignment="1">
      <alignment vertical="center" shrinkToFit="1"/>
    </xf>
    <xf numFmtId="164" fontId="4" fillId="0" borderId="13" xfId="81" applyNumberFormat="1" applyFont="1" applyBorder="1" applyAlignment="1">
      <alignment vertical="center" shrinkToFit="1"/>
    </xf>
    <xf numFmtId="0" fontId="8" fillId="0" borderId="0" xfId="0" applyFont="1" applyAlignment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53" fillId="0" borderId="0" xfId="0" applyFont="1" applyAlignment="1">
      <alignment horizontal="left" vertical="center"/>
    </xf>
    <xf numFmtId="0" fontId="57" fillId="0" borderId="18" xfId="0" applyFont="1" applyBorder="1" applyAlignment="1">
      <alignment horizontal="left" vertical="center"/>
    </xf>
    <xf numFmtId="0" fontId="57" fillId="0" borderId="11" xfId="0" applyFont="1" applyBorder="1" applyAlignment="1">
      <alignment horizontal="left" vertical="center"/>
    </xf>
    <xf numFmtId="164" fontId="4" fillId="55" borderId="13" xfId="81" applyNumberFormat="1" applyFont="1" applyFill="1" applyBorder="1" applyAlignment="1">
      <alignment vertical="center" shrinkToFit="1"/>
    </xf>
    <xf numFmtId="164" fontId="4" fillId="55" borderId="14" xfId="81" applyNumberFormat="1" applyFont="1" applyFill="1" applyBorder="1" applyAlignment="1">
      <alignment vertical="center" shrinkToFit="1"/>
    </xf>
    <xf numFmtId="164" fontId="3" fillId="55" borderId="13" xfId="81" applyNumberFormat="1" applyFont="1" applyFill="1" applyBorder="1" applyAlignment="1">
      <alignment vertical="center" shrinkToFit="1"/>
    </xf>
    <xf numFmtId="164" fontId="3" fillId="55" borderId="14" xfId="81" applyNumberFormat="1" applyFont="1" applyFill="1" applyBorder="1" applyAlignment="1">
      <alignment vertical="center" shrinkToFit="1"/>
    </xf>
    <xf numFmtId="164" fontId="3" fillId="0" borderId="12" xfId="81" applyNumberFormat="1" applyFont="1" applyBorder="1" applyAlignment="1">
      <alignment vertical="center" shrinkToFit="1"/>
    </xf>
    <xf numFmtId="164" fontId="3" fillId="0" borderId="13" xfId="81" applyNumberFormat="1" applyFont="1" applyBorder="1" applyAlignment="1">
      <alignment vertical="center" shrinkToFit="1"/>
    </xf>
    <xf numFmtId="0" fontId="57" fillId="0" borderId="11" xfId="0" applyFont="1" applyBorder="1" applyAlignment="1" applyProtection="1">
      <alignment horizontal="left" vertical="center"/>
      <protection locked="0"/>
    </xf>
    <xf numFmtId="3" fontId="55" fillId="0" borderId="0" xfId="0" applyNumberFormat="1" applyFont="1" applyAlignment="1">
      <alignment vertical="center"/>
    </xf>
    <xf numFmtId="164" fontId="4" fillId="55" borderId="13" xfId="81" applyNumberFormat="1" applyFont="1" applyFill="1" applyBorder="1" applyAlignment="1">
      <alignment horizontal="center" vertical="center" shrinkToFit="1"/>
    </xf>
    <xf numFmtId="164" fontId="4" fillId="55" borderId="14" xfId="81" applyNumberFormat="1" applyFont="1" applyFill="1" applyBorder="1" applyAlignment="1">
      <alignment horizontal="center" vertical="center" shrinkToFit="1"/>
    </xf>
    <xf numFmtId="164" fontId="4" fillId="0" borderId="12" xfId="81" applyNumberFormat="1" applyFont="1" applyBorder="1" applyAlignment="1">
      <alignment horizontal="center" vertical="center" shrinkToFit="1"/>
    </xf>
    <xf numFmtId="164" fontId="4" fillId="0" borderId="13" xfId="81" applyNumberFormat="1" applyFont="1" applyBorder="1" applyAlignment="1">
      <alignment horizontal="center" vertical="center" shrinkToFit="1"/>
    </xf>
    <xf numFmtId="10" fontId="3" fillId="0" borderId="12" xfId="81" applyNumberFormat="1" applyFont="1" applyBorder="1" applyAlignment="1">
      <alignment vertical="center" shrinkToFit="1"/>
    </xf>
    <xf numFmtId="10" fontId="3" fillId="0" borderId="13" xfId="81" applyNumberFormat="1" applyFont="1" applyBorder="1" applyAlignment="1">
      <alignment vertical="center" shrinkToFit="1"/>
    </xf>
    <xf numFmtId="10" fontId="3" fillId="55" borderId="13" xfId="81" applyNumberFormat="1" applyFont="1" applyFill="1" applyBorder="1" applyAlignment="1">
      <alignment vertical="center" shrinkToFit="1"/>
    </xf>
    <xf numFmtId="10" fontId="3" fillId="55" borderId="14" xfId="81" applyNumberFormat="1" applyFont="1" applyFill="1" applyBorder="1" applyAlignment="1">
      <alignment vertical="center" shrinkToFit="1"/>
    </xf>
    <xf numFmtId="0" fontId="57" fillId="0" borderId="13" xfId="0" applyFont="1" applyBorder="1" applyAlignment="1" applyProtection="1">
      <alignment horizontal="left" vertical="center"/>
      <protection locked="0"/>
    </xf>
    <xf numFmtId="0" fontId="57" fillId="0" borderId="16" xfId="0" applyFont="1" applyBorder="1" applyAlignment="1" applyProtection="1">
      <alignment horizontal="left" vertical="center"/>
      <protection locked="0"/>
    </xf>
    <xf numFmtId="0" fontId="57" fillId="0" borderId="19" xfId="0" applyFont="1" applyBorder="1" applyAlignment="1" applyProtection="1">
      <alignment horizontal="left" vertical="center"/>
      <protection locked="0"/>
    </xf>
    <xf numFmtId="164" fontId="4" fillId="55" borderId="19" xfId="81" applyNumberFormat="1" applyFont="1" applyFill="1" applyBorder="1" applyAlignment="1">
      <alignment vertical="center" shrinkToFit="1"/>
    </xf>
    <xf numFmtId="164" fontId="4" fillId="0" borderId="19" xfId="81" applyNumberFormat="1" applyFont="1" applyBorder="1" applyAlignment="1">
      <alignment vertical="center" shrinkToFit="1"/>
    </xf>
    <xf numFmtId="49" fontId="27" fillId="56" borderId="21" xfId="81" applyNumberFormat="1" applyFont="1" applyFill="1" applyBorder="1" applyAlignment="1">
      <alignment horizontal="center" vertical="center"/>
    </xf>
    <xf numFmtId="49" fontId="27" fillId="56" borderId="22" xfId="81" applyNumberFormat="1" applyFont="1" applyFill="1" applyBorder="1" applyAlignment="1" applyProtection="1">
      <alignment horizontal="center" vertical="center"/>
      <protection locked="0"/>
    </xf>
    <xf numFmtId="1" fontId="27" fillId="56" borderId="22" xfId="81" applyNumberFormat="1" applyFont="1" applyFill="1" applyBorder="1" applyAlignment="1">
      <alignment horizontal="center" vertical="center" wrapText="1"/>
    </xf>
    <xf numFmtId="1" fontId="27" fillId="56" borderId="22" xfId="81" applyNumberFormat="1" applyFont="1" applyFill="1" applyBorder="1" applyAlignment="1">
      <alignment horizontal="center" vertical="center"/>
    </xf>
    <xf numFmtId="0" fontId="56" fillId="0" borderId="24" xfId="0" applyFont="1" applyBorder="1" applyAlignment="1">
      <alignment horizontal="left" vertical="center"/>
    </xf>
    <xf numFmtId="0" fontId="56" fillId="0" borderId="11" xfId="0" quotePrefix="1" applyFont="1" applyBorder="1" applyAlignment="1">
      <alignment horizontal="left" vertical="center"/>
    </xf>
    <xf numFmtId="1" fontId="27" fillId="56" borderId="26" xfId="81" applyNumberFormat="1" applyFont="1" applyFill="1" applyBorder="1" applyAlignment="1">
      <alignment horizontal="center" vertical="center" wrapText="1"/>
    </xf>
    <xf numFmtId="164" fontId="4" fillId="55" borderId="27" xfId="81" applyNumberFormat="1" applyFont="1" applyFill="1" applyBorder="1" applyAlignment="1">
      <alignment vertical="center" shrinkToFit="1"/>
    </xf>
    <xf numFmtId="164" fontId="3" fillId="55" borderId="12" xfId="81" applyNumberFormat="1" applyFont="1" applyFill="1" applyBorder="1" applyAlignment="1">
      <alignment vertical="center" shrinkToFit="1"/>
    </xf>
    <xf numFmtId="164" fontId="4" fillId="55" borderId="12" xfId="81" applyNumberFormat="1" applyFont="1" applyFill="1" applyBorder="1" applyAlignment="1">
      <alignment vertical="center" shrinkToFit="1"/>
    </xf>
    <xf numFmtId="164" fontId="4" fillId="55" borderId="12" xfId="81" applyNumberFormat="1" applyFont="1" applyFill="1" applyBorder="1" applyAlignment="1">
      <alignment horizontal="center" vertical="center" shrinkToFit="1"/>
    </xf>
    <xf numFmtId="10" fontId="3" fillId="55" borderId="12" xfId="81" applyNumberFormat="1" applyFont="1" applyFill="1" applyBorder="1" applyAlignment="1">
      <alignment vertical="center" shrinkToFit="1"/>
    </xf>
    <xf numFmtId="49" fontId="27" fillId="56" borderId="23" xfId="81" applyNumberFormat="1" applyFont="1" applyFill="1" applyBorder="1" applyAlignment="1">
      <alignment horizontal="center" vertical="center"/>
    </xf>
    <xf numFmtId="0" fontId="56" fillId="0" borderId="20" xfId="0" applyFont="1" applyBorder="1" applyAlignment="1">
      <alignment vertical="center" wrapText="1"/>
    </xf>
    <xf numFmtId="0" fontId="57" fillId="0" borderId="14" xfId="0" applyFont="1" applyBorder="1" applyAlignment="1">
      <alignment horizontal="left" vertical="center" wrapText="1" indent="2"/>
    </xf>
    <xf numFmtId="0" fontId="57" fillId="0" borderId="14" xfId="0" applyFont="1" applyBorder="1" applyAlignment="1">
      <alignment horizontal="left" vertical="center" wrapText="1" indent="4"/>
    </xf>
    <xf numFmtId="0" fontId="56" fillId="0" borderId="14" xfId="0" applyFont="1" applyBorder="1" applyAlignment="1">
      <alignment vertical="center" wrapText="1"/>
    </xf>
    <xf numFmtId="1" fontId="27" fillId="56" borderId="26" xfId="81" applyNumberFormat="1" applyFont="1" applyFill="1" applyBorder="1" applyAlignment="1">
      <alignment horizontal="center" vertical="center"/>
    </xf>
    <xf numFmtId="164" fontId="4" fillId="0" borderId="27" xfId="81" applyNumberFormat="1" applyFont="1" applyBorder="1" applyAlignment="1">
      <alignment vertical="center" shrinkToFit="1"/>
    </xf>
    <xf numFmtId="1" fontId="27" fillId="56" borderId="23" xfId="81" applyNumberFormat="1" applyFont="1" applyFill="1" applyBorder="1" applyAlignment="1">
      <alignment horizontal="center" vertical="center" wrapText="1"/>
    </xf>
    <xf numFmtId="164" fontId="4" fillId="55" borderId="20" xfId="81" applyNumberFormat="1" applyFont="1" applyFill="1" applyBorder="1" applyAlignment="1">
      <alignment vertical="center" shrinkToFit="1"/>
    </xf>
    <xf numFmtId="164" fontId="4" fillId="55" borderId="25" xfId="81" applyNumberFormat="1" applyFont="1" applyFill="1" applyBorder="1" applyAlignment="1">
      <alignment horizontal="center" vertical="center" shrinkToFit="1"/>
    </xf>
    <xf numFmtId="164" fontId="4" fillId="55" borderId="16" xfId="81" applyNumberFormat="1" applyFont="1" applyFill="1" applyBorder="1" applyAlignment="1">
      <alignment horizontal="center" vertical="center" shrinkToFit="1"/>
    </xf>
    <xf numFmtId="164" fontId="4" fillId="55" borderId="17" xfId="81" applyNumberFormat="1" applyFont="1" applyFill="1" applyBorder="1" applyAlignment="1">
      <alignment horizontal="center" vertical="center" shrinkToFit="1"/>
    </xf>
    <xf numFmtId="0" fontId="58" fillId="0" borderId="11" xfId="0" applyFont="1" applyBorder="1" applyAlignment="1">
      <alignment horizontal="left" vertical="center"/>
    </xf>
    <xf numFmtId="164" fontId="28" fillId="55" borderId="12" xfId="81" applyNumberFormat="1" applyFont="1" applyFill="1" applyBorder="1" applyAlignment="1">
      <alignment horizontal="center" vertical="center" shrinkToFit="1"/>
    </xf>
    <xf numFmtId="10" fontId="28" fillId="57" borderId="13" xfId="81" applyNumberFormat="1" applyFont="1" applyFill="1" applyBorder="1" applyAlignment="1">
      <alignment vertical="center" shrinkToFit="1"/>
    </xf>
    <xf numFmtId="0" fontId="0" fillId="0" borderId="0" xfId="0" applyAlignment="1">
      <alignment horizontal="right"/>
    </xf>
    <xf numFmtId="10" fontId="3" fillId="0" borderId="12" xfId="89" applyNumberFormat="1" applyFont="1" applyFill="1" applyBorder="1" applyAlignment="1">
      <alignment vertical="center" shrinkToFit="1"/>
    </xf>
    <xf numFmtId="10" fontId="3" fillId="0" borderId="13" xfId="89" applyNumberFormat="1" applyFont="1" applyFill="1" applyBorder="1" applyAlignment="1">
      <alignment vertical="center" shrinkToFit="1"/>
    </xf>
    <xf numFmtId="10" fontId="3" fillId="0" borderId="25" xfId="89" applyNumberFormat="1" applyFont="1" applyFill="1" applyBorder="1" applyAlignment="1">
      <alignment vertical="center" shrinkToFit="1"/>
    </xf>
    <xf numFmtId="10" fontId="3" fillId="0" borderId="16" xfId="89" applyNumberFormat="1" applyFont="1" applyFill="1" applyBorder="1" applyAlignment="1">
      <alignment vertical="center" shrinkToFit="1"/>
    </xf>
    <xf numFmtId="164" fontId="3" fillId="0" borderId="12" xfId="81" applyNumberFormat="1" applyFont="1" applyBorder="1" applyAlignment="1">
      <alignment horizontal="center" vertical="center" shrinkToFit="1"/>
    </xf>
    <xf numFmtId="164" fontId="3" fillId="0" borderId="13" xfId="81" applyNumberFormat="1" applyFont="1" applyBorder="1" applyAlignment="1">
      <alignment horizontal="center" vertical="center" shrinkToFit="1"/>
    </xf>
    <xf numFmtId="0" fontId="59" fillId="0" borderId="0" xfId="0" applyFont="1" applyAlignment="1">
      <alignment horizontal="left" vertical="center" wrapText="1"/>
    </xf>
    <xf numFmtId="0" fontId="59" fillId="0" borderId="0" xfId="0" applyFont="1" applyAlignment="1">
      <alignment horizontal="center" vertical="center"/>
    </xf>
    <xf numFmtId="0" fontId="60" fillId="0" borderId="15" xfId="0" applyFont="1" applyBorder="1" applyAlignment="1">
      <alignment horizontal="center" vertical="center"/>
    </xf>
    <xf numFmtId="14" fontId="59" fillId="0" borderId="0" xfId="0" applyNumberFormat="1" applyFont="1" applyAlignment="1">
      <alignment horizontal="center" vertical="center"/>
    </xf>
    <xf numFmtId="0" fontId="60" fillId="0" borderId="15" xfId="0" applyFont="1" applyBorder="1" applyAlignment="1">
      <alignment horizontal="center" vertical="center" wrapText="1"/>
    </xf>
    <xf numFmtId="0" fontId="59" fillId="0" borderId="0" xfId="0" applyFont="1" applyAlignment="1">
      <alignment wrapText="1"/>
    </xf>
    <xf numFmtId="1" fontId="54" fillId="0" borderId="0" xfId="0" applyNumberFormat="1" applyFont="1" applyAlignment="1">
      <alignment horizontal="center" vertical="center"/>
    </xf>
    <xf numFmtId="0" fontId="54" fillId="0" borderId="0" xfId="0" applyFont="1"/>
    <xf numFmtId="0" fontId="54" fillId="0" borderId="0" xfId="0" applyFont="1" applyAlignment="1">
      <alignment horizontal="center"/>
    </xf>
    <xf numFmtId="0" fontId="54" fillId="0" borderId="0" xfId="0" applyFont="1" applyAlignment="1">
      <alignment horizontal="right" indent="1"/>
    </xf>
    <xf numFmtId="0" fontId="57" fillId="0" borderId="14" xfId="0" applyFont="1" applyBorder="1" applyAlignment="1">
      <alignment horizontal="left" vertical="center" wrapText="1" indent="1"/>
    </xf>
    <xf numFmtId="0" fontId="57" fillId="0" borderId="14" xfId="0" applyFont="1" applyBorder="1" applyAlignment="1" applyProtection="1">
      <alignment horizontal="left" vertical="center" wrapText="1" indent="1"/>
      <protection locked="0"/>
    </xf>
    <xf numFmtId="0" fontId="57" fillId="0" borderId="14" xfId="0" applyFont="1" applyBorder="1" applyAlignment="1">
      <alignment horizontal="left" vertical="center" wrapText="1" indent="3"/>
    </xf>
    <xf numFmtId="0" fontId="57" fillId="0" borderId="14" xfId="0" quotePrefix="1" applyFont="1" applyBorder="1" applyAlignment="1">
      <alignment horizontal="left" vertical="center" wrapText="1" indent="1"/>
    </xf>
    <xf numFmtId="0" fontId="57" fillId="0" borderId="17" xfId="0" applyFont="1" applyBorder="1" applyAlignment="1">
      <alignment horizontal="left" vertical="center" wrapText="1" indent="1"/>
    </xf>
    <xf numFmtId="0" fontId="54" fillId="0" borderId="0" xfId="0" quotePrefix="1" applyFont="1" applyAlignment="1">
      <alignment horizontal="center"/>
    </xf>
    <xf numFmtId="0" fontId="8" fillId="0" borderId="0" xfId="0" applyFont="1" applyAlignment="1">
      <alignment wrapText="1"/>
    </xf>
    <xf numFmtId="49" fontId="62" fillId="0" borderId="0" xfId="0" applyNumberFormat="1" applyFont="1" applyAlignment="1">
      <alignment vertical="center"/>
    </xf>
    <xf numFmtId="0" fontId="62" fillId="0" borderId="0" xfId="0" applyFont="1" applyAlignment="1">
      <alignment vertical="center"/>
    </xf>
    <xf numFmtId="1" fontId="62" fillId="0" borderId="0" xfId="0" applyNumberFormat="1" applyFont="1" applyAlignment="1">
      <alignment horizontal="center" vertical="center"/>
    </xf>
    <xf numFmtId="164" fontId="62" fillId="0" borderId="0" xfId="0" applyNumberFormat="1" applyFont="1" applyAlignment="1">
      <alignment vertical="center"/>
    </xf>
    <xf numFmtId="14" fontId="62" fillId="0" borderId="0" xfId="0" applyNumberFormat="1" applyFont="1" applyAlignment="1">
      <alignment vertical="center"/>
    </xf>
    <xf numFmtId="0" fontId="59" fillId="0" borderId="0" xfId="0" applyFont="1"/>
    <xf numFmtId="0" fontId="9" fillId="0" borderId="0" xfId="0" applyFont="1"/>
    <xf numFmtId="164" fontId="28" fillId="55" borderId="28" xfId="81" applyNumberFormat="1" applyFont="1" applyFill="1" applyBorder="1" applyAlignment="1">
      <alignment horizontal="center" vertical="center" shrinkToFit="1"/>
    </xf>
    <xf numFmtId="1" fontId="9" fillId="55" borderId="13" xfId="0" applyNumberFormat="1" applyFont="1" applyFill="1" applyBorder="1" applyAlignment="1">
      <alignment horizontal="center" vertical="center"/>
    </xf>
    <xf numFmtId="0" fontId="9" fillId="0" borderId="13" xfId="0" applyFont="1" applyBorder="1"/>
    <xf numFmtId="0" fontId="58" fillId="0" borderId="13" xfId="0" applyFont="1" applyBorder="1" applyAlignment="1">
      <alignment horizontal="left" vertical="center" wrapText="1" indent="1"/>
    </xf>
    <xf numFmtId="0" fontId="58" fillId="0" borderId="13" xfId="0" applyFont="1" applyBorder="1" applyAlignment="1">
      <alignment horizontal="left" vertical="center" wrapText="1" indent="2"/>
    </xf>
    <xf numFmtId="0" fontId="58" fillId="0" borderId="28" xfId="0" applyFont="1" applyBorder="1" applyAlignment="1">
      <alignment horizontal="left" vertical="center" wrapText="1"/>
    </xf>
    <xf numFmtId="0" fontId="58" fillId="0" borderId="13" xfId="0" applyFont="1" applyBorder="1" applyAlignment="1">
      <alignment horizontal="left" vertical="center" wrapText="1"/>
    </xf>
    <xf numFmtId="0" fontId="60" fillId="58" borderId="0" xfId="0" applyFont="1" applyFill="1" applyAlignment="1">
      <alignment vertical="top" wrapText="1"/>
    </xf>
    <xf numFmtId="0" fontId="60" fillId="0" borderId="0" xfId="0" applyFont="1" applyAlignment="1">
      <alignment vertical="top" wrapText="1"/>
    </xf>
    <xf numFmtId="0" fontId="63" fillId="0" borderId="0" xfId="0" applyFont="1" applyAlignment="1">
      <alignment vertical="top"/>
    </xf>
    <xf numFmtId="0" fontId="0" fillId="59" borderId="0" xfId="0" applyFill="1"/>
    <xf numFmtId="0" fontId="52" fillId="59" borderId="0" xfId="0" applyFont="1" applyFill="1" applyAlignment="1">
      <alignment horizontal="center"/>
    </xf>
    <xf numFmtId="0" fontId="59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64" fillId="0" borderId="0" xfId="0" applyFont="1" applyAlignment="1">
      <alignment vertical="top" wrapText="1"/>
    </xf>
    <xf numFmtId="10" fontId="28" fillId="0" borderId="13" xfId="81" applyNumberFormat="1" applyFont="1" applyBorder="1" applyAlignment="1">
      <alignment vertical="center" shrinkToFit="1"/>
    </xf>
    <xf numFmtId="10" fontId="54" fillId="58" borderId="0" xfId="89" applyNumberFormat="1" applyFont="1" applyFill="1"/>
    <xf numFmtId="10" fontId="54" fillId="61" borderId="0" xfId="89" applyNumberFormat="1" applyFont="1" applyFill="1"/>
    <xf numFmtId="10" fontId="54" fillId="59" borderId="0" xfId="89" applyNumberFormat="1" applyFont="1" applyFill="1"/>
    <xf numFmtId="0" fontId="57" fillId="60" borderId="14" xfId="0" applyFont="1" applyFill="1" applyBorder="1" applyAlignment="1">
      <alignment horizontal="left" vertical="center" wrapText="1" indent="2"/>
    </xf>
    <xf numFmtId="0" fontId="61" fillId="0" borderId="13" xfId="0" applyFont="1" applyBorder="1"/>
    <xf numFmtId="0" fontId="65" fillId="0" borderId="0" xfId="0" applyFont="1"/>
    <xf numFmtId="0" fontId="66" fillId="0" borderId="14" xfId="0" applyFont="1" applyBorder="1" applyAlignment="1">
      <alignment horizontal="left" vertical="center" wrapText="1" indent="2"/>
    </xf>
    <xf numFmtId="0" fontId="67" fillId="0" borderId="30" xfId="0" applyFont="1" applyBorder="1" applyAlignment="1">
      <alignment horizontal="center" vertical="center"/>
    </xf>
    <xf numFmtId="0" fontId="67" fillId="0" borderId="29" xfId="0" quotePrefix="1" applyFont="1" applyBorder="1" applyAlignment="1">
      <alignment horizontal="center" vertical="center"/>
    </xf>
    <xf numFmtId="0" fontId="67" fillId="0" borderId="29" xfId="0" applyFont="1" applyBorder="1" applyAlignment="1">
      <alignment horizontal="center" vertical="center"/>
    </xf>
    <xf numFmtId="0" fontId="67" fillId="0" borderId="29" xfId="0" applyFont="1" applyBorder="1"/>
    <xf numFmtId="0" fontId="67" fillId="0" borderId="31" xfId="0" applyFont="1" applyBorder="1"/>
    <xf numFmtId="0" fontId="68" fillId="0" borderId="32" xfId="0" applyFont="1" applyBorder="1" applyAlignment="1">
      <alignment horizontal="center" vertical="center"/>
    </xf>
    <xf numFmtId="0" fontId="69" fillId="0" borderId="0" xfId="0" quotePrefix="1" applyFont="1" applyAlignment="1">
      <alignment horizontal="center" vertical="center"/>
    </xf>
    <xf numFmtId="0" fontId="68" fillId="0" borderId="0" xfId="0" applyFont="1" applyAlignment="1">
      <alignment horizontal="center" vertical="center"/>
    </xf>
    <xf numFmtId="0" fontId="69" fillId="0" borderId="0" xfId="0" applyFont="1"/>
    <xf numFmtId="0" fontId="70" fillId="0" borderId="0" xfId="0" applyFont="1"/>
    <xf numFmtId="0" fontId="71" fillId="0" borderId="33" xfId="0" applyFont="1" applyBorder="1"/>
    <xf numFmtId="0" fontId="68" fillId="0" borderId="0" xfId="0" applyFont="1"/>
    <xf numFmtId="0" fontId="68" fillId="0" borderId="33" xfId="0" applyFont="1" applyBorder="1"/>
    <xf numFmtId="0" fontId="68" fillId="0" borderId="0" xfId="0" quotePrefix="1" applyFont="1" applyAlignment="1">
      <alignment horizontal="center" vertical="center"/>
    </xf>
    <xf numFmtId="0" fontId="68" fillId="0" borderId="34" xfId="0" applyFont="1" applyBorder="1" applyAlignment="1">
      <alignment horizontal="center" vertical="center"/>
    </xf>
    <xf numFmtId="0" fontId="68" fillId="0" borderId="15" xfId="0" applyFont="1" applyBorder="1" applyAlignment="1">
      <alignment horizontal="center" vertical="center"/>
    </xf>
    <xf numFmtId="0" fontId="68" fillId="0" borderId="15" xfId="0" applyFont="1" applyBorder="1"/>
    <xf numFmtId="0" fontId="68" fillId="0" borderId="35" xfId="0" applyFont="1" applyBorder="1"/>
    <xf numFmtId="0" fontId="67" fillId="0" borderId="29" xfId="0" quotePrefix="1" applyFont="1" applyBorder="1"/>
    <xf numFmtId="0" fontId="72" fillId="61" borderId="0" xfId="0" applyFont="1" applyFill="1" applyAlignment="1">
      <alignment horizontal="center"/>
    </xf>
    <xf numFmtId="0" fontId="73" fillId="0" borderId="15" xfId="0" applyFont="1" applyBorder="1" applyAlignment="1" applyProtection="1">
      <alignment horizontal="center" vertical="center" wrapText="1"/>
      <protection locked="0"/>
    </xf>
    <xf numFmtId="0" fontId="74" fillId="0" borderId="15" xfId="0" applyFont="1" applyBorder="1" applyAlignment="1">
      <alignment horizontal="center" vertical="center" wrapText="1"/>
    </xf>
  </cellXfs>
  <cellStyles count="110">
    <cellStyle name="20% - akcent 1 2" xfId="1" xr:uid="{00000000-0005-0000-0000-000000000000}"/>
    <cellStyle name="20% - akcent 1 3" xfId="2" xr:uid="{00000000-0005-0000-0000-000001000000}"/>
    <cellStyle name="20% - akcent 2 2" xfId="3" xr:uid="{00000000-0005-0000-0000-000002000000}"/>
    <cellStyle name="20% - akcent 2 3" xfId="4" xr:uid="{00000000-0005-0000-0000-000003000000}"/>
    <cellStyle name="20% - akcent 3 2" xfId="5" xr:uid="{00000000-0005-0000-0000-000004000000}"/>
    <cellStyle name="20% - akcent 3 3" xfId="6" xr:uid="{00000000-0005-0000-0000-000005000000}"/>
    <cellStyle name="20% - akcent 4 2" xfId="7" xr:uid="{00000000-0005-0000-0000-000006000000}"/>
    <cellStyle name="20% - akcent 4 3" xfId="8" xr:uid="{00000000-0005-0000-0000-000007000000}"/>
    <cellStyle name="20% - akcent 5 2" xfId="9" xr:uid="{00000000-0005-0000-0000-000008000000}"/>
    <cellStyle name="20% - akcent 5 3" xfId="10" xr:uid="{00000000-0005-0000-0000-000009000000}"/>
    <cellStyle name="20% - akcent 6 2" xfId="11" xr:uid="{00000000-0005-0000-0000-00000A000000}"/>
    <cellStyle name="20% - akcent 6 3" xfId="12" xr:uid="{00000000-0005-0000-0000-00000B000000}"/>
    <cellStyle name="40% - akcent 1 2" xfId="13" xr:uid="{00000000-0005-0000-0000-00000C000000}"/>
    <cellStyle name="40% - akcent 1 3" xfId="14" xr:uid="{00000000-0005-0000-0000-00000D000000}"/>
    <cellStyle name="40% - akcent 2 2" xfId="15" xr:uid="{00000000-0005-0000-0000-00000E000000}"/>
    <cellStyle name="40% - akcent 2 3" xfId="16" xr:uid="{00000000-0005-0000-0000-00000F000000}"/>
    <cellStyle name="40% - akcent 3 2" xfId="17" xr:uid="{00000000-0005-0000-0000-000010000000}"/>
    <cellStyle name="40% - akcent 3 3" xfId="18" xr:uid="{00000000-0005-0000-0000-000011000000}"/>
    <cellStyle name="40% - akcent 4 2" xfId="19" xr:uid="{00000000-0005-0000-0000-000012000000}"/>
    <cellStyle name="40% - akcent 4 3" xfId="20" xr:uid="{00000000-0005-0000-0000-000013000000}"/>
    <cellStyle name="40% - akcent 5 2" xfId="21" xr:uid="{00000000-0005-0000-0000-000014000000}"/>
    <cellStyle name="40% - akcent 5 3" xfId="22" xr:uid="{00000000-0005-0000-0000-000015000000}"/>
    <cellStyle name="40% - akcent 6 2" xfId="23" xr:uid="{00000000-0005-0000-0000-000016000000}"/>
    <cellStyle name="40% - akcent 6 3" xfId="24" xr:uid="{00000000-0005-0000-0000-000017000000}"/>
    <cellStyle name="60% - akcent 1 2" xfId="25" xr:uid="{00000000-0005-0000-0000-000018000000}"/>
    <cellStyle name="60% - akcent 1 3" xfId="26" xr:uid="{00000000-0005-0000-0000-000019000000}"/>
    <cellStyle name="60% - akcent 2 2" xfId="27" xr:uid="{00000000-0005-0000-0000-00001A000000}"/>
    <cellStyle name="60% - akcent 2 3" xfId="28" xr:uid="{00000000-0005-0000-0000-00001B000000}"/>
    <cellStyle name="60% - akcent 3 2" xfId="29" xr:uid="{00000000-0005-0000-0000-00001C000000}"/>
    <cellStyle name="60% - akcent 3 3" xfId="30" xr:uid="{00000000-0005-0000-0000-00001D000000}"/>
    <cellStyle name="60% - akcent 4 2" xfId="31" xr:uid="{00000000-0005-0000-0000-00001E000000}"/>
    <cellStyle name="60% - akcent 4 3" xfId="32" xr:uid="{00000000-0005-0000-0000-00001F000000}"/>
    <cellStyle name="60% - akcent 5 2" xfId="33" xr:uid="{00000000-0005-0000-0000-000020000000}"/>
    <cellStyle name="60% - akcent 5 3" xfId="34" xr:uid="{00000000-0005-0000-0000-000021000000}"/>
    <cellStyle name="60% - akcent 6 2" xfId="35" xr:uid="{00000000-0005-0000-0000-000022000000}"/>
    <cellStyle name="60% - akcent 6 3" xfId="36" xr:uid="{00000000-0005-0000-0000-000023000000}"/>
    <cellStyle name="Akcent 1 2" xfId="37" xr:uid="{00000000-0005-0000-0000-000024000000}"/>
    <cellStyle name="Akcent 1 3" xfId="38" xr:uid="{00000000-0005-0000-0000-000025000000}"/>
    <cellStyle name="Akcent 2 2" xfId="39" xr:uid="{00000000-0005-0000-0000-000026000000}"/>
    <cellStyle name="Akcent 2 3" xfId="40" xr:uid="{00000000-0005-0000-0000-000027000000}"/>
    <cellStyle name="Akcent 3 2" xfId="41" xr:uid="{00000000-0005-0000-0000-000028000000}"/>
    <cellStyle name="Akcent 3 3" xfId="42" xr:uid="{00000000-0005-0000-0000-000029000000}"/>
    <cellStyle name="Akcent 4 2" xfId="43" xr:uid="{00000000-0005-0000-0000-00002A000000}"/>
    <cellStyle name="Akcent 4 3" xfId="44" xr:uid="{00000000-0005-0000-0000-00002B000000}"/>
    <cellStyle name="Akcent 5 2" xfId="45" xr:uid="{00000000-0005-0000-0000-00002C000000}"/>
    <cellStyle name="Akcent 5 3" xfId="46" xr:uid="{00000000-0005-0000-0000-00002D000000}"/>
    <cellStyle name="Akcent 6 2" xfId="47" xr:uid="{00000000-0005-0000-0000-00002E000000}"/>
    <cellStyle name="Akcent 6 3" xfId="48" xr:uid="{00000000-0005-0000-0000-00002F000000}"/>
    <cellStyle name="Dane wejściowe 2" xfId="49" xr:uid="{00000000-0005-0000-0000-000030000000}"/>
    <cellStyle name="Dane wejściowe 3" xfId="50" xr:uid="{00000000-0005-0000-0000-000031000000}"/>
    <cellStyle name="Dane wyjściowe 2" xfId="51" xr:uid="{00000000-0005-0000-0000-000032000000}"/>
    <cellStyle name="Dane wyjściowe 3" xfId="52" xr:uid="{00000000-0005-0000-0000-000033000000}"/>
    <cellStyle name="Dobre 2" xfId="53" xr:uid="{00000000-0005-0000-0000-000034000000}"/>
    <cellStyle name="Dobre 3" xfId="54" xr:uid="{00000000-0005-0000-0000-000035000000}"/>
    <cellStyle name="Komórka połączona 2" xfId="55" xr:uid="{00000000-0005-0000-0000-000036000000}"/>
    <cellStyle name="Komórka połączona 3" xfId="56" xr:uid="{00000000-0005-0000-0000-000037000000}"/>
    <cellStyle name="Komórka zaznaczona 2" xfId="57" xr:uid="{00000000-0005-0000-0000-000038000000}"/>
    <cellStyle name="Komórka zaznaczona 3" xfId="58" xr:uid="{00000000-0005-0000-0000-000039000000}"/>
    <cellStyle name="Nagłówek 1 2" xfId="59" xr:uid="{00000000-0005-0000-0000-00003A000000}"/>
    <cellStyle name="Nagłówek 1 3" xfId="60" xr:uid="{00000000-0005-0000-0000-00003B000000}"/>
    <cellStyle name="Nagłówek 2 2" xfId="61" xr:uid="{00000000-0005-0000-0000-00003C000000}"/>
    <cellStyle name="Nagłówek 2 3" xfId="62" xr:uid="{00000000-0005-0000-0000-00003D000000}"/>
    <cellStyle name="Nagłówek 3 2" xfId="63" xr:uid="{00000000-0005-0000-0000-00003E000000}"/>
    <cellStyle name="Nagłówek 3 3" xfId="64" xr:uid="{00000000-0005-0000-0000-00003F000000}"/>
    <cellStyle name="Nagłówek 4 2" xfId="65" xr:uid="{00000000-0005-0000-0000-000040000000}"/>
    <cellStyle name="Nagłówek 4 3" xfId="66" xr:uid="{00000000-0005-0000-0000-000041000000}"/>
    <cellStyle name="Neutralne 2" xfId="67" xr:uid="{00000000-0005-0000-0000-000042000000}"/>
    <cellStyle name="Neutralne 3" xfId="68" xr:uid="{00000000-0005-0000-0000-000043000000}"/>
    <cellStyle name="Normalny" xfId="0" builtinId="0"/>
    <cellStyle name="Normalny 10" xfId="69" xr:uid="{00000000-0005-0000-0000-000045000000}"/>
    <cellStyle name="Normalny 2" xfId="70" xr:uid="{00000000-0005-0000-0000-000046000000}"/>
    <cellStyle name="Normalny 2 2" xfId="71" xr:uid="{00000000-0005-0000-0000-000047000000}"/>
    <cellStyle name="Normalny 2 3" xfId="72" xr:uid="{00000000-0005-0000-0000-000048000000}"/>
    <cellStyle name="Normalny 2 4" xfId="73" xr:uid="{00000000-0005-0000-0000-000049000000}"/>
    <cellStyle name="Normalny 2 5" xfId="74" xr:uid="{00000000-0005-0000-0000-00004A000000}"/>
    <cellStyle name="Normalny 2 6" xfId="75" xr:uid="{00000000-0005-0000-0000-00004B000000}"/>
    <cellStyle name="Normalny 2 7" xfId="76" xr:uid="{00000000-0005-0000-0000-00004C000000}"/>
    <cellStyle name="Normalny 3" xfId="77" xr:uid="{00000000-0005-0000-0000-00004D000000}"/>
    <cellStyle name="Normalny 4" xfId="78" xr:uid="{00000000-0005-0000-0000-00004E000000}"/>
    <cellStyle name="Normalny 5" xfId="79" xr:uid="{00000000-0005-0000-0000-00004F000000}"/>
    <cellStyle name="Normalny 6" xfId="80" xr:uid="{00000000-0005-0000-0000-000050000000}"/>
    <cellStyle name="Normalny 6 2" xfId="81" xr:uid="{00000000-0005-0000-0000-000051000000}"/>
    <cellStyle name="Normalny 7" xfId="82" xr:uid="{00000000-0005-0000-0000-000052000000}"/>
    <cellStyle name="Normalny 7 2" xfId="83" xr:uid="{00000000-0005-0000-0000-000053000000}"/>
    <cellStyle name="Normalny 8" xfId="84" xr:uid="{00000000-0005-0000-0000-000054000000}"/>
    <cellStyle name="Normalny 8 2" xfId="85" xr:uid="{00000000-0005-0000-0000-000055000000}"/>
    <cellStyle name="Normalny 9" xfId="86" xr:uid="{00000000-0005-0000-0000-000056000000}"/>
    <cellStyle name="Obliczenia 2" xfId="87" xr:uid="{00000000-0005-0000-0000-000057000000}"/>
    <cellStyle name="Obliczenia 3" xfId="88" xr:uid="{00000000-0005-0000-0000-000058000000}"/>
    <cellStyle name="Procentowy" xfId="89" builtinId="5"/>
    <cellStyle name="Procentowy 2" xfId="90" xr:uid="{00000000-0005-0000-0000-00005A000000}"/>
    <cellStyle name="Procentowy 2 2" xfId="91" xr:uid="{00000000-0005-0000-0000-00005B000000}"/>
    <cellStyle name="Procentowy 2 3" xfId="92" xr:uid="{00000000-0005-0000-0000-00005C000000}"/>
    <cellStyle name="Procentowy 3" xfId="93" xr:uid="{00000000-0005-0000-0000-00005D000000}"/>
    <cellStyle name="Procentowy 3 2" xfId="94" xr:uid="{00000000-0005-0000-0000-00005E000000}"/>
    <cellStyle name="Procentowy 4" xfId="95" xr:uid="{00000000-0005-0000-0000-00005F000000}"/>
    <cellStyle name="Procentowy 5" xfId="96" xr:uid="{00000000-0005-0000-0000-000060000000}"/>
    <cellStyle name="Procentowy 6" xfId="97" xr:uid="{00000000-0005-0000-0000-000061000000}"/>
    <cellStyle name="Suma 2" xfId="98" xr:uid="{00000000-0005-0000-0000-000062000000}"/>
    <cellStyle name="Suma 3" xfId="99" xr:uid="{00000000-0005-0000-0000-000063000000}"/>
    <cellStyle name="Tekst objaśnienia 2" xfId="100" xr:uid="{00000000-0005-0000-0000-000064000000}"/>
    <cellStyle name="Tekst objaśnienia 3" xfId="101" xr:uid="{00000000-0005-0000-0000-000065000000}"/>
    <cellStyle name="Tekst ostrzeżenia 2" xfId="102" xr:uid="{00000000-0005-0000-0000-000066000000}"/>
    <cellStyle name="Tekst ostrzeżenia 3" xfId="103" xr:uid="{00000000-0005-0000-0000-000067000000}"/>
    <cellStyle name="Tytuł" xfId="104" builtinId="15" customBuiltin="1"/>
    <cellStyle name="Tytuł 2" xfId="105" xr:uid="{00000000-0005-0000-0000-000069000000}"/>
    <cellStyle name="Uwaga 2" xfId="106" xr:uid="{00000000-0005-0000-0000-00006A000000}"/>
    <cellStyle name="Uwaga 3" xfId="107" xr:uid="{00000000-0005-0000-0000-00006B000000}"/>
    <cellStyle name="Złe 2" xfId="108" xr:uid="{00000000-0005-0000-0000-00006C000000}"/>
    <cellStyle name="Złe 3" xfId="109" xr:uid="{00000000-0005-0000-0000-00006D000000}"/>
  </cellStyles>
  <dxfs count="3"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4"/>
  <dimension ref="A1:AR118"/>
  <sheetViews>
    <sheetView topLeftCell="D1" workbookViewId="0">
      <selection activeCell="G1" sqref="G1"/>
    </sheetView>
  </sheetViews>
  <sheetFormatPr defaultColWidth="9" defaultRowHeight="10"/>
  <cols>
    <col min="1" max="1" width="5.25" style="12" bestFit="1" customWidth="1"/>
    <col min="2" max="2" width="10" style="12" customWidth="1"/>
    <col min="3" max="3" width="46.33203125" style="13" customWidth="1"/>
    <col min="4" max="4" width="21" style="13" customWidth="1"/>
    <col min="5" max="5" width="34.58203125" style="13" customWidth="1"/>
    <col min="6" max="6" width="16.75" style="13" bestFit="1" customWidth="1"/>
    <col min="7" max="7" width="33.75" style="13" customWidth="1"/>
    <col min="8" max="13" width="16.75" style="13" bestFit="1" customWidth="1"/>
    <col min="14" max="16384" width="9" style="13"/>
  </cols>
  <sheetData>
    <row r="1" spans="1:44" ht="13">
      <c r="D1" s="124">
        <v>1</v>
      </c>
      <c r="E1" s="125" t="s">
        <v>422</v>
      </c>
      <c r="F1" s="126" t="str">
        <f>+LEFT(E1,4)</f>
        <v>E20B</v>
      </c>
      <c r="G1" s="127" t="s">
        <v>424</v>
      </c>
      <c r="H1" s="142" t="s">
        <v>426</v>
      </c>
      <c r="I1" s="128" t="s">
        <v>397</v>
      </c>
    </row>
    <row r="2" spans="1:44" ht="13">
      <c r="C2" s="13" t="s">
        <v>109</v>
      </c>
      <c r="D2" s="129"/>
      <c r="E2" s="130"/>
      <c r="F2" s="131"/>
      <c r="G2" s="132"/>
      <c r="H2" s="133"/>
      <c r="I2" s="134"/>
    </row>
    <row r="3" spans="1:44" ht="13">
      <c r="C3" s="13" t="s">
        <v>108</v>
      </c>
      <c r="D3" s="129"/>
      <c r="E3" s="131"/>
      <c r="F3" s="131"/>
      <c r="G3" s="135"/>
      <c r="H3" s="135"/>
      <c r="I3" s="136"/>
    </row>
    <row r="4" spans="1:44" ht="13">
      <c r="D4" s="129"/>
      <c r="E4" s="137"/>
      <c r="F4" s="131"/>
      <c r="G4" s="135"/>
      <c r="H4" s="135"/>
      <c r="I4" s="136"/>
    </row>
    <row r="5" spans="1:44" ht="13">
      <c r="D5" s="138"/>
      <c r="E5" s="139"/>
      <c r="F5" s="139"/>
      <c r="G5" s="140"/>
      <c r="H5" s="140"/>
      <c r="I5" s="141"/>
    </row>
    <row r="9" spans="1:44">
      <c r="B9" s="12" t="s">
        <v>0</v>
      </c>
      <c r="C9" s="13" t="s">
        <v>1</v>
      </c>
      <c r="D9" s="13">
        <v>0</v>
      </c>
      <c r="E9" s="13">
        <v>0</v>
      </c>
      <c r="F9" s="13">
        <f>+E9+1</f>
        <v>1</v>
      </c>
      <c r="G9" s="13">
        <f t="shared" ref="G9:AF9" si="0">+F9+1</f>
        <v>2</v>
      </c>
      <c r="H9" s="13">
        <f t="shared" si="0"/>
        <v>3</v>
      </c>
      <c r="I9" s="13">
        <f t="shared" si="0"/>
        <v>4</v>
      </c>
      <c r="J9" s="13">
        <f t="shared" si="0"/>
        <v>5</v>
      </c>
      <c r="K9" s="13">
        <f t="shared" si="0"/>
        <v>6</v>
      </c>
      <c r="L9" s="13">
        <f t="shared" si="0"/>
        <v>7</v>
      </c>
      <c r="M9" s="13">
        <f t="shared" si="0"/>
        <v>8</v>
      </c>
      <c r="N9" s="13">
        <f t="shared" si="0"/>
        <v>9</v>
      </c>
      <c r="O9" s="13">
        <f t="shared" si="0"/>
        <v>10</v>
      </c>
      <c r="P9" s="13">
        <f>+O9+1</f>
        <v>11</v>
      </c>
      <c r="Q9" s="13">
        <f t="shared" si="0"/>
        <v>12</v>
      </c>
      <c r="R9" s="13">
        <f t="shared" si="0"/>
        <v>13</v>
      </c>
      <c r="S9" s="13">
        <f t="shared" si="0"/>
        <v>14</v>
      </c>
      <c r="T9" s="13">
        <f t="shared" si="0"/>
        <v>15</v>
      </c>
      <c r="U9" s="13">
        <f t="shared" si="0"/>
        <v>16</v>
      </c>
      <c r="V9" s="13">
        <f t="shared" si="0"/>
        <v>17</v>
      </c>
      <c r="W9" s="13">
        <f t="shared" si="0"/>
        <v>18</v>
      </c>
      <c r="X9" s="13">
        <f t="shared" si="0"/>
        <v>19</v>
      </c>
      <c r="Y9" s="13">
        <f t="shared" si="0"/>
        <v>20</v>
      </c>
      <c r="Z9" s="13">
        <f t="shared" si="0"/>
        <v>21</v>
      </c>
      <c r="AA9" s="13">
        <f t="shared" si="0"/>
        <v>22</v>
      </c>
      <c r="AB9" s="13">
        <f t="shared" si="0"/>
        <v>23</v>
      </c>
      <c r="AC9" s="13">
        <f t="shared" si="0"/>
        <v>24</v>
      </c>
      <c r="AD9" s="13">
        <f t="shared" si="0"/>
        <v>25</v>
      </c>
      <c r="AE9" s="13">
        <f t="shared" si="0"/>
        <v>26</v>
      </c>
      <c r="AF9" s="13">
        <f t="shared" si="0"/>
        <v>27</v>
      </c>
      <c r="AG9" s="13">
        <f>+AF9+1</f>
        <v>28</v>
      </c>
      <c r="AH9" s="13">
        <f>+AG9+1</f>
        <v>29</v>
      </c>
      <c r="AI9" s="13">
        <f t="shared" ref="AI9:AQ9" si="1">+AH9+1</f>
        <v>30</v>
      </c>
      <c r="AJ9" s="13">
        <f t="shared" si="1"/>
        <v>31</v>
      </c>
      <c r="AK9" s="13">
        <f t="shared" si="1"/>
        <v>32</v>
      </c>
      <c r="AL9" s="13">
        <f t="shared" si="1"/>
        <v>33</v>
      </c>
      <c r="AM9" s="13">
        <f t="shared" si="1"/>
        <v>34</v>
      </c>
      <c r="AN9" s="13">
        <f t="shared" si="1"/>
        <v>35</v>
      </c>
      <c r="AO9" s="13">
        <f t="shared" si="1"/>
        <v>36</v>
      </c>
      <c r="AP9" s="13">
        <f t="shared" si="1"/>
        <v>37</v>
      </c>
      <c r="AQ9" s="13">
        <f t="shared" si="1"/>
        <v>38</v>
      </c>
      <c r="AR9" s="13">
        <f>+AQ9+1</f>
        <v>39</v>
      </c>
    </row>
    <row r="10" spans="1:44">
      <c r="A10" s="29">
        <v>10000</v>
      </c>
      <c r="B10" s="12">
        <v>1</v>
      </c>
      <c r="C10" s="13" t="s">
        <v>21</v>
      </c>
      <c r="D10" s="13" t="str">
        <f t="shared" ref="D10:M25" si="2">+"rokwzgl="&amp;D$9&amp;" i lp="&amp;$A10</f>
        <v>rokwzgl=0 i lp=10000</v>
      </c>
      <c r="E10" s="13" t="str">
        <f t="shared" si="2"/>
        <v>rokwzgl=0 i lp=10000</v>
      </c>
      <c r="F10" s="13" t="str">
        <f t="shared" si="2"/>
        <v>rokwzgl=1 i lp=10000</v>
      </c>
      <c r="G10" s="13" t="str">
        <f t="shared" si="2"/>
        <v>rokwzgl=2 i lp=10000</v>
      </c>
      <c r="H10" s="13" t="str">
        <f t="shared" si="2"/>
        <v>rokwzgl=3 i lp=10000</v>
      </c>
      <c r="I10" s="13" t="str">
        <f t="shared" si="2"/>
        <v>rokwzgl=4 i lp=10000</v>
      </c>
      <c r="J10" s="13" t="str">
        <f t="shared" si="2"/>
        <v>rokwzgl=5 i lp=10000</v>
      </c>
      <c r="K10" s="13" t="str">
        <f t="shared" si="2"/>
        <v>rokwzgl=6 i lp=10000</v>
      </c>
      <c r="L10" s="13" t="str">
        <f t="shared" si="2"/>
        <v>rokwzgl=7 i lp=10000</v>
      </c>
      <c r="M10" s="13" t="str">
        <f t="shared" si="2"/>
        <v>rokwzgl=8 i lp=10000</v>
      </c>
      <c r="N10" s="13" t="str">
        <f t="shared" ref="N10:W25" si="3">+"rokwzgl="&amp;N$9&amp;" i lp="&amp;$A10</f>
        <v>rokwzgl=9 i lp=10000</v>
      </c>
      <c r="O10" s="13" t="str">
        <f t="shared" si="3"/>
        <v>rokwzgl=10 i lp=10000</v>
      </c>
      <c r="P10" s="13" t="str">
        <f t="shared" si="3"/>
        <v>rokwzgl=11 i lp=10000</v>
      </c>
      <c r="Q10" s="13" t="str">
        <f t="shared" si="3"/>
        <v>rokwzgl=12 i lp=10000</v>
      </c>
      <c r="R10" s="13" t="str">
        <f t="shared" si="3"/>
        <v>rokwzgl=13 i lp=10000</v>
      </c>
      <c r="S10" s="13" t="str">
        <f t="shared" si="3"/>
        <v>rokwzgl=14 i lp=10000</v>
      </c>
      <c r="T10" s="13" t="str">
        <f t="shared" si="3"/>
        <v>rokwzgl=15 i lp=10000</v>
      </c>
      <c r="U10" s="13" t="str">
        <f t="shared" si="3"/>
        <v>rokwzgl=16 i lp=10000</v>
      </c>
      <c r="V10" s="13" t="str">
        <f t="shared" si="3"/>
        <v>rokwzgl=17 i lp=10000</v>
      </c>
      <c r="W10" s="13" t="str">
        <f t="shared" si="3"/>
        <v>rokwzgl=18 i lp=10000</v>
      </c>
      <c r="X10" s="13" t="str">
        <f t="shared" ref="X10:AM19" si="4">+"rokwzgl="&amp;X$9&amp;" i lp="&amp;$A10</f>
        <v>rokwzgl=19 i lp=10000</v>
      </c>
      <c r="Y10" s="13" t="str">
        <f t="shared" si="4"/>
        <v>rokwzgl=20 i lp=10000</v>
      </c>
      <c r="Z10" s="13" t="str">
        <f t="shared" si="4"/>
        <v>rokwzgl=21 i lp=10000</v>
      </c>
      <c r="AA10" s="13" t="str">
        <f t="shared" si="4"/>
        <v>rokwzgl=22 i lp=10000</v>
      </c>
      <c r="AB10" s="13" t="str">
        <f t="shared" si="4"/>
        <v>rokwzgl=23 i lp=10000</v>
      </c>
      <c r="AC10" s="13" t="str">
        <f t="shared" si="4"/>
        <v>rokwzgl=24 i lp=10000</v>
      </c>
      <c r="AD10" s="13" t="str">
        <f t="shared" si="4"/>
        <v>rokwzgl=25 i lp=10000</v>
      </c>
      <c r="AE10" s="13" t="str">
        <f t="shared" si="4"/>
        <v>rokwzgl=26 i lp=10000</v>
      </c>
      <c r="AF10" s="13" t="str">
        <f t="shared" si="4"/>
        <v>rokwzgl=27 i lp=10000</v>
      </c>
      <c r="AG10" s="13" t="str">
        <f t="shared" si="4"/>
        <v>rokwzgl=28 i lp=10000</v>
      </c>
      <c r="AH10" s="13" t="str">
        <f t="shared" si="4"/>
        <v>rokwzgl=29 i lp=10000</v>
      </c>
      <c r="AI10" s="13" t="str">
        <f t="shared" si="4"/>
        <v>rokwzgl=30 i lp=10000</v>
      </c>
      <c r="AJ10" s="13" t="str">
        <f t="shared" si="4"/>
        <v>rokwzgl=31 i lp=10000</v>
      </c>
      <c r="AK10" s="13" t="str">
        <f t="shared" si="4"/>
        <v>rokwzgl=32 i lp=10000</v>
      </c>
      <c r="AL10" s="13" t="str">
        <f t="shared" si="4"/>
        <v>rokwzgl=33 i lp=10000</v>
      </c>
      <c r="AM10" s="13" t="str">
        <f t="shared" si="4"/>
        <v>rokwzgl=34 i lp=10000</v>
      </c>
      <c r="AN10" s="13" t="str">
        <f t="shared" ref="AN10:AR25" si="5">+"rokwzgl="&amp;AN$9&amp;" i lp="&amp;$A10</f>
        <v>rokwzgl=35 i lp=10000</v>
      </c>
      <c r="AO10" s="13" t="str">
        <f t="shared" si="5"/>
        <v>rokwzgl=36 i lp=10000</v>
      </c>
      <c r="AP10" s="13" t="str">
        <f t="shared" si="5"/>
        <v>rokwzgl=37 i lp=10000</v>
      </c>
      <c r="AQ10" s="13" t="str">
        <f t="shared" si="5"/>
        <v>rokwzgl=38 i lp=10000</v>
      </c>
      <c r="AR10" s="13" t="str">
        <f t="shared" si="5"/>
        <v>rokwzgl=39 i lp=10000</v>
      </c>
    </row>
    <row r="11" spans="1:44">
      <c r="A11" s="29">
        <v>11000</v>
      </c>
      <c r="B11" s="12" t="s">
        <v>46</v>
      </c>
      <c r="C11" s="13" t="s">
        <v>111</v>
      </c>
      <c r="D11" s="13" t="str">
        <f t="shared" si="2"/>
        <v>rokwzgl=0 i lp=11000</v>
      </c>
      <c r="E11" s="13" t="str">
        <f t="shared" si="2"/>
        <v>rokwzgl=0 i lp=11000</v>
      </c>
      <c r="F11" s="13" t="str">
        <f t="shared" si="2"/>
        <v>rokwzgl=1 i lp=11000</v>
      </c>
      <c r="G11" s="13" t="str">
        <f t="shared" si="2"/>
        <v>rokwzgl=2 i lp=11000</v>
      </c>
      <c r="H11" s="13" t="str">
        <f t="shared" si="2"/>
        <v>rokwzgl=3 i lp=11000</v>
      </c>
      <c r="I11" s="13" t="str">
        <f t="shared" si="2"/>
        <v>rokwzgl=4 i lp=11000</v>
      </c>
      <c r="J11" s="13" t="str">
        <f t="shared" si="2"/>
        <v>rokwzgl=5 i lp=11000</v>
      </c>
      <c r="K11" s="13" t="str">
        <f t="shared" si="2"/>
        <v>rokwzgl=6 i lp=11000</v>
      </c>
      <c r="L11" s="13" t="str">
        <f t="shared" si="2"/>
        <v>rokwzgl=7 i lp=11000</v>
      </c>
      <c r="M11" s="13" t="str">
        <f t="shared" si="2"/>
        <v>rokwzgl=8 i lp=11000</v>
      </c>
      <c r="N11" s="13" t="str">
        <f t="shared" si="3"/>
        <v>rokwzgl=9 i lp=11000</v>
      </c>
      <c r="O11" s="13" t="str">
        <f t="shared" si="3"/>
        <v>rokwzgl=10 i lp=11000</v>
      </c>
      <c r="P11" s="13" t="str">
        <f t="shared" si="3"/>
        <v>rokwzgl=11 i lp=11000</v>
      </c>
      <c r="Q11" s="13" t="str">
        <f t="shared" si="3"/>
        <v>rokwzgl=12 i lp=11000</v>
      </c>
      <c r="R11" s="13" t="str">
        <f t="shared" si="3"/>
        <v>rokwzgl=13 i lp=11000</v>
      </c>
      <c r="S11" s="13" t="str">
        <f t="shared" si="3"/>
        <v>rokwzgl=14 i lp=11000</v>
      </c>
      <c r="T11" s="13" t="str">
        <f t="shared" si="3"/>
        <v>rokwzgl=15 i lp=11000</v>
      </c>
      <c r="U11" s="13" t="str">
        <f t="shared" si="3"/>
        <v>rokwzgl=16 i lp=11000</v>
      </c>
      <c r="V11" s="13" t="str">
        <f t="shared" si="3"/>
        <v>rokwzgl=17 i lp=11000</v>
      </c>
      <c r="W11" s="13" t="str">
        <f t="shared" si="3"/>
        <v>rokwzgl=18 i lp=11000</v>
      </c>
      <c r="X11" s="13" t="str">
        <f t="shared" si="4"/>
        <v>rokwzgl=19 i lp=11000</v>
      </c>
      <c r="Y11" s="13" t="str">
        <f t="shared" si="4"/>
        <v>rokwzgl=20 i lp=11000</v>
      </c>
      <c r="Z11" s="13" t="str">
        <f t="shared" si="4"/>
        <v>rokwzgl=21 i lp=11000</v>
      </c>
      <c r="AA11" s="13" t="str">
        <f t="shared" si="4"/>
        <v>rokwzgl=22 i lp=11000</v>
      </c>
      <c r="AB11" s="13" t="str">
        <f t="shared" si="4"/>
        <v>rokwzgl=23 i lp=11000</v>
      </c>
      <c r="AC11" s="13" t="str">
        <f t="shared" si="4"/>
        <v>rokwzgl=24 i lp=11000</v>
      </c>
      <c r="AD11" s="13" t="str">
        <f t="shared" si="4"/>
        <v>rokwzgl=25 i lp=11000</v>
      </c>
      <c r="AE11" s="13" t="str">
        <f t="shared" si="4"/>
        <v>rokwzgl=26 i lp=11000</v>
      </c>
      <c r="AF11" s="13" t="str">
        <f t="shared" si="4"/>
        <v>rokwzgl=27 i lp=11000</v>
      </c>
      <c r="AG11" s="13" t="str">
        <f t="shared" si="4"/>
        <v>rokwzgl=28 i lp=11000</v>
      </c>
      <c r="AH11" s="13" t="str">
        <f t="shared" si="4"/>
        <v>rokwzgl=29 i lp=11000</v>
      </c>
      <c r="AI11" s="13" t="str">
        <f t="shared" si="4"/>
        <v>rokwzgl=30 i lp=11000</v>
      </c>
      <c r="AJ11" s="13" t="str">
        <f t="shared" si="4"/>
        <v>rokwzgl=31 i lp=11000</v>
      </c>
      <c r="AK11" s="13" t="str">
        <f t="shared" si="4"/>
        <v>rokwzgl=32 i lp=11000</v>
      </c>
      <c r="AL11" s="13" t="str">
        <f t="shared" si="4"/>
        <v>rokwzgl=33 i lp=11000</v>
      </c>
      <c r="AM11" s="13" t="str">
        <f t="shared" si="4"/>
        <v>rokwzgl=34 i lp=11000</v>
      </c>
      <c r="AN11" s="13" t="str">
        <f t="shared" si="5"/>
        <v>rokwzgl=35 i lp=11000</v>
      </c>
      <c r="AO11" s="13" t="str">
        <f t="shared" si="5"/>
        <v>rokwzgl=36 i lp=11000</v>
      </c>
      <c r="AP11" s="13" t="str">
        <f t="shared" si="5"/>
        <v>rokwzgl=37 i lp=11000</v>
      </c>
      <c r="AQ11" s="13" t="str">
        <f t="shared" si="5"/>
        <v>rokwzgl=38 i lp=11000</v>
      </c>
      <c r="AR11" s="13" t="str">
        <f t="shared" si="5"/>
        <v>rokwzgl=39 i lp=11000</v>
      </c>
    </row>
    <row r="12" spans="1:44">
      <c r="A12" s="29">
        <v>11100</v>
      </c>
      <c r="B12" s="12" t="s">
        <v>27</v>
      </c>
      <c r="C12" s="13" t="s">
        <v>112</v>
      </c>
      <c r="D12" s="13" t="str">
        <f t="shared" si="2"/>
        <v>rokwzgl=0 i lp=11100</v>
      </c>
      <c r="E12" s="13" t="str">
        <f t="shared" si="2"/>
        <v>rokwzgl=0 i lp=11100</v>
      </c>
      <c r="F12" s="13" t="str">
        <f t="shared" si="2"/>
        <v>rokwzgl=1 i lp=11100</v>
      </c>
      <c r="G12" s="13" t="str">
        <f t="shared" si="2"/>
        <v>rokwzgl=2 i lp=11100</v>
      </c>
      <c r="H12" s="13" t="str">
        <f t="shared" si="2"/>
        <v>rokwzgl=3 i lp=11100</v>
      </c>
      <c r="I12" s="13" t="str">
        <f t="shared" si="2"/>
        <v>rokwzgl=4 i lp=11100</v>
      </c>
      <c r="J12" s="13" t="str">
        <f t="shared" si="2"/>
        <v>rokwzgl=5 i lp=11100</v>
      </c>
      <c r="K12" s="13" t="str">
        <f t="shared" si="2"/>
        <v>rokwzgl=6 i lp=11100</v>
      </c>
      <c r="L12" s="13" t="str">
        <f t="shared" si="2"/>
        <v>rokwzgl=7 i lp=11100</v>
      </c>
      <c r="M12" s="13" t="str">
        <f t="shared" si="2"/>
        <v>rokwzgl=8 i lp=11100</v>
      </c>
      <c r="N12" s="13" t="str">
        <f t="shared" si="3"/>
        <v>rokwzgl=9 i lp=11100</v>
      </c>
      <c r="O12" s="13" t="str">
        <f t="shared" si="3"/>
        <v>rokwzgl=10 i lp=11100</v>
      </c>
      <c r="P12" s="13" t="str">
        <f t="shared" si="3"/>
        <v>rokwzgl=11 i lp=11100</v>
      </c>
      <c r="Q12" s="13" t="str">
        <f t="shared" si="3"/>
        <v>rokwzgl=12 i lp=11100</v>
      </c>
      <c r="R12" s="13" t="str">
        <f t="shared" si="3"/>
        <v>rokwzgl=13 i lp=11100</v>
      </c>
      <c r="S12" s="13" t="str">
        <f t="shared" si="3"/>
        <v>rokwzgl=14 i lp=11100</v>
      </c>
      <c r="T12" s="13" t="str">
        <f t="shared" si="3"/>
        <v>rokwzgl=15 i lp=11100</v>
      </c>
      <c r="U12" s="13" t="str">
        <f t="shared" si="3"/>
        <v>rokwzgl=16 i lp=11100</v>
      </c>
      <c r="V12" s="13" t="str">
        <f t="shared" si="3"/>
        <v>rokwzgl=17 i lp=11100</v>
      </c>
      <c r="W12" s="13" t="str">
        <f t="shared" si="3"/>
        <v>rokwzgl=18 i lp=11100</v>
      </c>
      <c r="X12" s="13" t="str">
        <f t="shared" si="4"/>
        <v>rokwzgl=19 i lp=11100</v>
      </c>
      <c r="Y12" s="13" t="str">
        <f t="shared" si="4"/>
        <v>rokwzgl=20 i lp=11100</v>
      </c>
      <c r="Z12" s="13" t="str">
        <f t="shared" si="4"/>
        <v>rokwzgl=21 i lp=11100</v>
      </c>
      <c r="AA12" s="13" t="str">
        <f t="shared" si="4"/>
        <v>rokwzgl=22 i lp=11100</v>
      </c>
      <c r="AB12" s="13" t="str">
        <f t="shared" si="4"/>
        <v>rokwzgl=23 i lp=11100</v>
      </c>
      <c r="AC12" s="13" t="str">
        <f t="shared" si="4"/>
        <v>rokwzgl=24 i lp=11100</v>
      </c>
      <c r="AD12" s="13" t="str">
        <f t="shared" si="4"/>
        <v>rokwzgl=25 i lp=11100</v>
      </c>
      <c r="AE12" s="13" t="str">
        <f t="shared" si="4"/>
        <v>rokwzgl=26 i lp=11100</v>
      </c>
      <c r="AF12" s="13" t="str">
        <f t="shared" si="4"/>
        <v>rokwzgl=27 i lp=11100</v>
      </c>
      <c r="AG12" s="13" t="str">
        <f t="shared" si="4"/>
        <v>rokwzgl=28 i lp=11100</v>
      </c>
      <c r="AH12" s="13" t="str">
        <f t="shared" si="4"/>
        <v>rokwzgl=29 i lp=11100</v>
      </c>
      <c r="AI12" s="13" t="str">
        <f t="shared" si="4"/>
        <v>rokwzgl=30 i lp=11100</v>
      </c>
      <c r="AJ12" s="13" t="str">
        <f t="shared" si="4"/>
        <v>rokwzgl=31 i lp=11100</v>
      </c>
      <c r="AK12" s="13" t="str">
        <f t="shared" si="4"/>
        <v>rokwzgl=32 i lp=11100</v>
      </c>
      <c r="AL12" s="13" t="str">
        <f t="shared" si="4"/>
        <v>rokwzgl=33 i lp=11100</v>
      </c>
      <c r="AM12" s="13" t="str">
        <f t="shared" si="4"/>
        <v>rokwzgl=34 i lp=11100</v>
      </c>
      <c r="AN12" s="13" t="str">
        <f t="shared" si="5"/>
        <v>rokwzgl=35 i lp=11100</v>
      </c>
      <c r="AO12" s="13" t="str">
        <f t="shared" si="5"/>
        <v>rokwzgl=36 i lp=11100</v>
      </c>
      <c r="AP12" s="13" t="str">
        <f t="shared" si="5"/>
        <v>rokwzgl=37 i lp=11100</v>
      </c>
      <c r="AQ12" s="13" t="str">
        <f t="shared" si="5"/>
        <v>rokwzgl=38 i lp=11100</v>
      </c>
      <c r="AR12" s="13" t="str">
        <f t="shared" si="5"/>
        <v>rokwzgl=39 i lp=11100</v>
      </c>
    </row>
    <row r="13" spans="1:44">
      <c r="A13" s="29">
        <v>11200</v>
      </c>
      <c r="B13" s="12" t="s">
        <v>28</v>
      </c>
      <c r="C13" s="13" t="s">
        <v>113</v>
      </c>
      <c r="D13" s="13" t="str">
        <f t="shared" si="2"/>
        <v>rokwzgl=0 i lp=11200</v>
      </c>
      <c r="E13" s="13" t="str">
        <f t="shared" si="2"/>
        <v>rokwzgl=0 i lp=11200</v>
      </c>
      <c r="F13" s="13" t="str">
        <f t="shared" si="2"/>
        <v>rokwzgl=1 i lp=11200</v>
      </c>
      <c r="G13" s="13" t="str">
        <f t="shared" si="2"/>
        <v>rokwzgl=2 i lp=11200</v>
      </c>
      <c r="H13" s="13" t="str">
        <f t="shared" si="2"/>
        <v>rokwzgl=3 i lp=11200</v>
      </c>
      <c r="I13" s="13" t="str">
        <f t="shared" si="2"/>
        <v>rokwzgl=4 i lp=11200</v>
      </c>
      <c r="J13" s="13" t="str">
        <f t="shared" si="2"/>
        <v>rokwzgl=5 i lp=11200</v>
      </c>
      <c r="K13" s="13" t="str">
        <f t="shared" si="2"/>
        <v>rokwzgl=6 i lp=11200</v>
      </c>
      <c r="L13" s="13" t="str">
        <f t="shared" si="2"/>
        <v>rokwzgl=7 i lp=11200</v>
      </c>
      <c r="M13" s="13" t="str">
        <f t="shared" si="2"/>
        <v>rokwzgl=8 i lp=11200</v>
      </c>
      <c r="N13" s="13" t="str">
        <f t="shared" si="3"/>
        <v>rokwzgl=9 i lp=11200</v>
      </c>
      <c r="O13" s="13" t="str">
        <f t="shared" si="3"/>
        <v>rokwzgl=10 i lp=11200</v>
      </c>
      <c r="P13" s="13" t="str">
        <f t="shared" si="3"/>
        <v>rokwzgl=11 i lp=11200</v>
      </c>
      <c r="Q13" s="13" t="str">
        <f t="shared" si="3"/>
        <v>rokwzgl=12 i lp=11200</v>
      </c>
      <c r="R13" s="13" t="str">
        <f t="shared" si="3"/>
        <v>rokwzgl=13 i lp=11200</v>
      </c>
      <c r="S13" s="13" t="str">
        <f t="shared" si="3"/>
        <v>rokwzgl=14 i lp=11200</v>
      </c>
      <c r="T13" s="13" t="str">
        <f t="shared" si="3"/>
        <v>rokwzgl=15 i lp=11200</v>
      </c>
      <c r="U13" s="13" t="str">
        <f t="shared" si="3"/>
        <v>rokwzgl=16 i lp=11200</v>
      </c>
      <c r="V13" s="13" t="str">
        <f t="shared" si="3"/>
        <v>rokwzgl=17 i lp=11200</v>
      </c>
      <c r="W13" s="13" t="str">
        <f t="shared" si="3"/>
        <v>rokwzgl=18 i lp=11200</v>
      </c>
      <c r="X13" s="13" t="str">
        <f t="shared" si="4"/>
        <v>rokwzgl=19 i lp=11200</v>
      </c>
      <c r="Y13" s="13" t="str">
        <f t="shared" si="4"/>
        <v>rokwzgl=20 i lp=11200</v>
      </c>
      <c r="Z13" s="13" t="str">
        <f t="shared" si="4"/>
        <v>rokwzgl=21 i lp=11200</v>
      </c>
      <c r="AA13" s="13" t="str">
        <f t="shared" si="4"/>
        <v>rokwzgl=22 i lp=11200</v>
      </c>
      <c r="AB13" s="13" t="str">
        <f t="shared" si="4"/>
        <v>rokwzgl=23 i lp=11200</v>
      </c>
      <c r="AC13" s="13" t="str">
        <f t="shared" si="4"/>
        <v>rokwzgl=24 i lp=11200</v>
      </c>
      <c r="AD13" s="13" t="str">
        <f t="shared" si="4"/>
        <v>rokwzgl=25 i lp=11200</v>
      </c>
      <c r="AE13" s="13" t="str">
        <f t="shared" si="4"/>
        <v>rokwzgl=26 i lp=11200</v>
      </c>
      <c r="AF13" s="13" t="str">
        <f t="shared" si="4"/>
        <v>rokwzgl=27 i lp=11200</v>
      </c>
      <c r="AG13" s="13" t="str">
        <f t="shared" si="4"/>
        <v>rokwzgl=28 i lp=11200</v>
      </c>
      <c r="AH13" s="13" t="str">
        <f t="shared" si="4"/>
        <v>rokwzgl=29 i lp=11200</v>
      </c>
      <c r="AI13" s="13" t="str">
        <f t="shared" si="4"/>
        <v>rokwzgl=30 i lp=11200</v>
      </c>
      <c r="AJ13" s="13" t="str">
        <f t="shared" si="4"/>
        <v>rokwzgl=31 i lp=11200</v>
      </c>
      <c r="AK13" s="13" t="str">
        <f t="shared" si="4"/>
        <v>rokwzgl=32 i lp=11200</v>
      </c>
      <c r="AL13" s="13" t="str">
        <f t="shared" si="4"/>
        <v>rokwzgl=33 i lp=11200</v>
      </c>
      <c r="AM13" s="13" t="str">
        <f t="shared" si="4"/>
        <v>rokwzgl=34 i lp=11200</v>
      </c>
      <c r="AN13" s="13" t="str">
        <f t="shared" si="5"/>
        <v>rokwzgl=35 i lp=11200</v>
      </c>
      <c r="AO13" s="13" t="str">
        <f t="shared" si="5"/>
        <v>rokwzgl=36 i lp=11200</v>
      </c>
      <c r="AP13" s="13" t="str">
        <f t="shared" si="5"/>
        <v>rokwzgl=37 i lp=11200</v>
      </c>
      <c r="AQ13" s="13" t="str">
        <f t="shared" si="5"/>
        <v>rokwzgl=38 i lp=11200</v>
      </c>
      <c r="AR13" s="13" t="str">
        <f t="shared" si="5"/>
        <v>rokwzgl=39 i lp=11200</v>
      </c>
    </row>
    <row r="14" spans="1:44">
      <c r="A14" s="29">
        <v>11300</v>
      </c>
      <c r="B14" s="12" t="s">
        <v>29</v>
      </c>
      <c r="C14" s="13" t="s">
        <v>114</v>
      </c>
      <c r="D14" s="13" t="str">
        <f t="shared" si="2"/>
        <v>rokwzgl=0 i lp=11300</v>
      </c>
      <c r="E14" s="13" t="str">
        <f t="shared" si="2"/>
        <v>rokwzgl=0 i lp=11300</v>
      </c>
      <c r="F14" s="13" t="str">
        <f t="shared" si="2"/>
        <v>rokwzgl=1 i lp=11300</v>
      </c>
      <c r="G14" s="13" t="str">
        <f t="shared" si="2"/>
        <v>rokwzgl=2 i lp=11300</v>
      </c>
      <c r="H14" s="13" t="str">
        <f t="shared" si="2"/>
        <v>rokwzgl=3 i lp=11300</v>
      </c>
      <c r="I14" s="13" t="str">
        <f t="shared" si="2"/>
        <v>rokwzgl=4 i lp=11300</v>
      </c>
      <c r="J14" s="13" t="str">
        <f t="shared" si="2"/>
        <v>rokwzgl=5 i lp=11300</v>
      </c>
      <c r="K14" s="13" t="str">
        <f t="shared" si="2"/>
        <v>rokwzgl=6 i lp=11300</v>
      </c>
      <c r="L14" s="13" t="str">
        <f t="shared" si="2"/>
        <v>rokwzgl=7 i lp=11300</v>
      </c>
      <c r="M14" s="13" t="str">
        <f t="shared" si="2"/>
        <v>rokwzgl=8 i lp=11300</v>
      </c>
      <c r="N14" s="13" t="str">
        <f t="shared" si="3"/>
        <v>rokwzgl=9 i lp=11300</v>
      </c>
      <c r="O14" s="13" t="str">
        <f t="shared" si="3"/>
        <v>rokwzgl=10 i lp=11300</v>
      </c>
      <c r="P14" s="13" t="str">
        <f t="shared" si="3"/>
        <v>rokwzgl=11 i lp=11300</v>
      </c>
      <c r="Q14" s="13" t="str">
        <f t="shared" si="3"/>
        <v>rokwzgl=12 i lp=11300</v>
      </c>
      <c r="R14" s="13" t="str">
        <f t="shared" si="3"/>
        <v>rokwzgl=13 i lp=11300</v>
      </c>
      <c r="S14" s="13" t="str">
        <f t="shared" si="3"/>
        <v>rokwzgl=14 i lp=11300</v>
      </c>
      <c r="T14" s="13" t="str">
        <f t="shared" si="3"/>
        <v>rokwzgl=15 i lp=11300</v>
      </c>
      <c r="U14" s="13" t="str">
        <f t="shared" si="3"/>
        <v>rokwzgl=16 i lp=11300</v>
      </c>
      <c r="V14" s="13" t="str">
        <f t="shared" si="3"/>
        <v>rokwzgl=17 i lp=11300</v>
      </c>
      <c r="W14" s="13" t="str">
        <f t="shared" si="3"/>
        <v>rokwzgl=18 i lp=11300</v>
      </c>
      <c r="X14" s="13" t="str">
        <f t="shared" si="4"/>
        <v>rokwzgl=19 i lp=11300</v>
      </c>
      <c r="Y14" s="13" t="str">
        <f t="shared" si="4"/>
        <v>rokwzgl=20 i lp=11300</v>
      </c>
      <c r="Z14" s="13" t="str">
        <f t="shared" si="4"/>
        <v>rokwzgl=21 i lp=11300</v>
      </c>
      <c r="AA14" s="13" t="str">
        <f t="shared" si="4"/>
        <v>rokwzgl=22 i lp=11300</v>
      </c>
      <c r="AB14" s="13" t="str">
        <f t="shared" si="4"/>
        <v>rokwzgl=23 i lp=11300</v>
      </c>
      <c r="AC14" s="13" t="str">
        <f t="shared" si="4"/>
        <v>rokwzgl=24 i lp=11300</v>
      </c>
      <c r="AD14" s="13" t="str">
        <f t="shared" si="4"/>
        <v>rokwzgl=25 i lp=11300</v>
      </c>
      <c r="AE14" s="13" t="str">
        <f t="shared" si="4"/>
        <v>rokwzgl=26 i lp=11300</v>
      </c>
      <c r="AF14" s="13" t="str">
        <f t="shared" si="4"/>
        <v>rokwzgl=27 i lp=11300</v>
      </c>
      <c r="AG14" s="13" t="str">
        <f t="shared" si="4"/>
        <v>rokwzgl=28 i lp=11300</v>
      </c>
      <c r="AH14" s="13" t="str">
        <f t="shared" si="4"/>
        <v>rokwzgl=29 i lp=11300</v>
      </c>
      <c r="AI14" s="13" t="str">
        <f t="shared" si="4"/>
        <v>rokwzgl=30 i lp=11300</v>
      </c>
      <c r="AJ14" s="13" t="str">
        <f t="shared" si="4"/>
        <v>rokwzgl=31 i lp=11300</v>
      </c>
      <c r="AK14" s="13" t="str">
        <f t="shared" si="4"/>
        <v>rokwzgl=32 i lp=11300</v>
      </c>
      <c r="AL14" s="13" t="str">
        <f t="shared" si="4"/>
        <v>rokwzgl=33 i lp=11300</v>
      </c>
      <c r="AM14" s="13" t="str">
        <f t="shared" si="4"/>
        <v>rokwzgl=34 i lp=11300</v>
      </c>
      <c r="AN14" s="13" t="str">
        <f t="shared" si="5"/>
        <v>rokwzgl=35 i lp=11300</v>
      </c>
      <c r="AO14" s="13" t="str">
        <f t="shared" si="5"/>
        <v>rokwzgl=36 i lp=11300</v>
      </c>
      <c r="AP14" s="13" t="str">
        <f t="shared" si="5"/>
        <v>rokwzgl=37 i lp=11300</v>
      </c>
      <c r="AQ14" s="13" t="str">
        <f t="shared" si="5"/>
        <v>rokwzgl=38 i lp=11300</v>
      </c>
      <c r="AR14" s="13" t="str">
        <f t="shared" si="5"/>
        <v>rokwzgl=39 i lp=11300</v>
      </c>
    </row>
    <row r="15" spans="1:44">
      <c r="A15" s="29">
        <v>11400</v>
      </c>
      <c r="B15" s="12" t="s">
        <v>30</v>
      </c>
      <c r="C15" s="13" t="s">
        <v>115</v>
      </c>
      <c r="D15" s="13" t="str">
        <f t="shared" si="2"/>
        <v>rokwzgl=0 i lp=11400</v>
      </c>
      <c r="E15" s="13" t="str">
        <f t="shared" si="2"/>
        <v>rokwzgl=0 i lp=11400</v>
      </c>
      <c r="F15" s="13" t="str">
        <f t="shared" si="2"/>
        <v>rokwzgl=1 i lp=11400</v>
      </c>
      <c r="G15" s="13" t="str">
        <f t="shared" si="2"/>
        <v>rokwzgl=2 i lp=11400</v>
      </c>
      <c r="H15" s="13" t="str">
        <f t="shared" si="2"/>
        <v>rokwzgl=3 i lp=11400</v>
      </c>
      <c r="I15" s="13" t="str">
        <f t="shared" si="2"/>
        <v>rokwzgl=4 i lp=11400</v>
      </c>
      <c r="J15" s="13" t="str">
        <f t="shared" si="2"/>
        <v>rokwzgl=5 i lp=11400</v>
      </c>
      <c r="K15" s="13" t="str">
        <f t="shared" si="2"/>
        <v>rokwzgl=6 i lp=11400</v>
      </c>
      <c r="L15" s="13" t="str">
        <f t="shared" si="2"/>
        <v>rokwzgl=7 i lp=11400</v>
      </c>
      <c r="M15" s="13" t="str">
        <f t="shared" si="2"/>
        <v>rokwzgl=8 i lp=11400</v>
      </c>
      <c r="N15" s="13" t="str">
        <f t="shared" si="3"/>
        <v>rokwzgl=9 i lp=11400</v>
      </c>
      <c r="O15" s="13" t="str">
        <f t="shared" si="3"/>
        <v>rokwzgl=10 i lp=11400</v>
      </c>
      <c r="P15" s="13" t="str">
        <f t="shared" si="3"/>
        <v>rokwzgl=11 i lp=11400</v>
      </c>
      <c r="Q15" s="13" t="str">
        <f t="shared" si="3"/>
        <v>rokwzgl=12 i lp=11400</v>
      </c>
      <c r="R15" s="13" t="str">
        <f t="shared" si="3"/>
        <v>rokwzgl=13 i lp=11400</v>
      </c>
      <c r="S15" s="13" t="str">
        <f t="shared" si="3"/>
        <v>rokwzgl=14 i lp=11400</v>
      </c>
      <c r="T15" s="13" t="str">
        <f t="shared" si="3"/>
        <v>rokwzgl=15 i lp=11400</v>
      </c>
      <c r="U15" s="13" t="str">
        <f t="shared" si="3"/>
        <v>rokwzgl=16 i lp=11400</v>
      </c>
      <c r="V15" s="13" t="str">
        <f t="shared" si="3"/>
        <v>rokwzgl=17 i lp=11400</v>
      </c>
      <c r="W15" s="13" t="str">
        <f t="shared" si="3"/>
        <v>rokwzgl=18 i lp=11400</v>
      </c>
      <c r="X15" s="13" t="str">
        <f t="shared" si="4"/>
        <v>rokwzgl=19 i lp=11400</v>
      </c>
      <c r="Y15" s="13" t="str">
        <f t="shared" si="4"/>
        <v>rokwzgl=20 i lp=11400</v>
      </c>
      <c r="Z15" s="13" t="str">
        <f t="shared" si="4"/>
        <v>rokwzgl=21 i lp=11400</v>
      </c>
      <c r="AA15" s="13" t="str">
        <f t="shared" si="4"/>
        <v>rokwzgl=22 i lp=11400</v>
      </c>
      <c r="AB15" s="13" t="str">
        <f t="shared" si="4"/>
        <v>rokwzgl=23 i lp=11400</v>
      </c>
      <c r="AC15" s="13" t="str">
        <f t="shared" si="4"/>
        <v>rokwzgl=24 i lp=11400</v>
      </c>
      <c r="AD15" s="13" t="str">
        <f t="shared" si="4"/>
        <v>rokwzgl=25 i lp=11400</v>
      </c>
      <c r="AE15" s="13" t="str">
        <f t="shared" si="4"/>
        <v>rokwzgl=26 i lp=11400</v>
      </c>
      <c r="AF15" s="13" t="str">
        <f t="shared" si="4"/>
        <v>rokwzgl=27 i lp=11400</v>
      </c>
      <c r="AG15" s="13" t="str">
        <f t="shared" si="4"/>
        <v>rokwzgl=28 i lp=11400</v>
      </c>
      <c r="AH15" s="13" t="str">
        <f t="shared" si="4"/>
        <v>rokwzgl=29 i lp=11400</v>
      </c>
      <c r="AI15" s="13" t="str">
        <f t="shared" si="4"/>
        <v>rokwzgl=30 i lp=11400</v>
      </c>
      <c r="AJ15" s="13" t="str">
        <f t="shared" si="4"/>
        <v>rokwzgl=31 i lp=11400</v>
      </c>
      <c r="AK15" s="13" t="str">
        <f t="shared" si="4"/>
        <v>rokwzgl=32 i lp=11400</v>
      </c>
      <c r="AL15" s="13" t="str">
        <f t="shared" si="4"/>
        <v>rokwzgl=33 i lp=11400</v>
      </c>
      <c r="AM15" s="13" t="str">
        <f t="shared" si="4"/>
        <v>rokwzgl=34 i lp=11400</v>
      </c>
      <c r="AN15" s="13" t="str">
        <f t="shared" si="5"/>
        <v>rokwzgl=35 i lp=11400</v>
      </c>
      <c r="AO15" s="13" t="str">
        <f t="shared" si="5"/>
        <v>rokwzgl=36 i lp=11400</v>
      </c>
      <c r="AP15" s="13" t="str">
        <f t="shared" si="5"/>
        <v>rokwzgl=37 i lp=11400</v>
      </c>
      <c r="AQ15" s="13" t="str">
        <f t="shared" si="5"/>
        <v>rokwzgl=38 i lp=11400</v>
      </c>
      <c r="AR15" s="13" t="str">
        <f t="shared" si="5"/>
        <v>rokwzgl=39 i lp=11400</v>
      </c>
    </row>
    <row r="16" spans="1:44">
      <c r="A16" s="29">
        <v>11500</v>
      </c>
      <c r="B16" s="12" t="s">
        <v>31</v>
      </c>
      <c r="C16" s="13" t="s">
        <v>116</v>
      </c>
      <c r="D16" s="13" t="str">
        <f t="shared" si="2"/>
        <v>rokwzgl=0 i lp=11500</v>
      </c>
      <c r="E16" s="13" t="str">
        <f t="shared" si="2"/>
        <v>rokwzgl=0 i lp=11500</v>
      </c>
      <c r="F16" s="13" t="str">
        <f t="shared" si="2"/>
        <v>rokwzgl=1 i lp=11500</v>
      </c>
      <c r="G16" s="13" t="str">
        <f t="shared" si="2"/>
        <v>rokwzgl=2 i lp=11500</v>
      </c>
      <c r="H16" s="13" t="str">
        <f t="shared" si="2"/>
        <v>rokwzgl=3 i lp=11500</v>
      </c>
      <c r="I16" s="13" t="str">
        <f t="shared" si="2"/>
        <v>rokwzgl=4 i lp=11500</v>
      </c>
      <c r="J16" s="13" t="str">
        <f t="shared" si="2"/>
        <v>rokwzgl=5 i lp=11500</v>
      </c>
      <c r="K16" s="13" t="str">
        <f t="shared" si="2"/>
        <v>rokwzgl=6 i lp=11500</v>
      </c>
      <c r="L16" s="13" t="str">
        <f t="shared" si="2"/>
        <v>rokwzgl=7 i lp=11500</v>
      </c>
      <c r="M16" s="13" t="str">
        <f t="shared" si="2"/>
        <v>rokwzgl=8 i lp=11500</v>
      </c>
      <c r="N16" s="13" t="str">
        <f t="shared" si="3"/>
        <v>rokwzgl=9 i lp=11500</v>
      </c>
      <c r="O16" s="13" t="str">
        <f t="shared" si="3"/>
        <v>rokwzgl=10 i lp=11500</v>
      </c>
      <c r="P16" s="13" t="str">
        <f t="shared" si="3"/>
        <v>rokwzgl=11 i lp=11500</v>
      </c>
      <c r="Q16" s="13" t="str">
        <f t="shared" si="3"/>
        <v>rokwzgl=12 i lp=11500</v>
      </c>
      <c r="R16" s="13" t="str">
        <f t="shared" si="3"/>
        <v>rokwzgl=13 i lp=11500</v>
      </c>
      <c r="S16" s="13" t="str">
        <f t="shared" si="3"/>
        <v>rokwzgl=14 i lp=11500</v>
      </c>
      <c r="T16" s="13" t="str">
        <f t="shared" si="3"/>
        <v>rokwzgl=15 i lp=11500</v>
      </c>
      <c r="U16" s="13" t="str">
        <f t="shared" si="3"/>
        <v>rokwzgl=16 i lp=11500</v>
      </c>
      <c r="V16" s="13" t="str">
        <f t="shared" si="3"/>
        <v>rokwzgl=17 i lp=11500</v>
      </c>
      <c r="W16" s="13" t="str">
        <f t="shared" si="3"/>
        <v>rokwzgl=18 i lp=11500</v>
      </c>
      <c r="X16" s="13" t="str">
        <f t="shared" si="4"/>
        <v>rokwzgl=19 i lp=11500</v>
      </c>
      <c r="Y16" s="13" t="str">
        <f t="shared" si="4"/>
        <v>rokwzgl=20 i lp=11500</v>
      </c>
      <c r="Z16" s="13" t="str">
        <f t="shared" si="4"/>
        <v>rokwzgl=21 i lp=11500</v>
      </c>
      <c r="AA16" s="13" t="str">
        <f t="shared" si="4"/>
        <v>rokwzgl=22 i lp=11500</v>
      </c>
      <c r="AB16" s="13" t="str">
        <f t="shared" si="4"/>
        <v>rokwzgl=23 i lp=11500</v>
      </c>
      <c r="AC16" s="13" t="str">
        <f t="shared" si="4"/>
        <v>rokwzgl=24 i lp=11500</v>
      </c>
      <c r="AD16" s="13" t="str">
        <f t="shared" si="4"/>
        <v>rokwzgl=25 i lp=11500</v>
      </c>
      <c r="AE16" s="13" t="str">
        <f t="shared" si="4"/>
        <v>rokwzgl=26 i lp=11500</v>
      </c>
      <c r="AF16" s="13" t="str">
        <f t="shared" si="4"/>
        <v>rokwzgl=27 i lp=11500</v>
      </c>
      <c r="AG16" s="13" t="str">
        <f t="shared" si="4"/>
        <v>rokwzgl=28 i lp=11500</v>
      </c>
      <c r="AH16" s="13" t="str">
        <f t="shared" si="4"/>
        <v>rokwzgl=29 i lp=11500</v>
      </c>
      <c r="AI16" s="13" t="str">
        <f t="shared" si="4"/>
        <v>rokwzgl=30 i lp=11500</v>
      </c>
      <c r="AJ16" s="13" t="str">
        <f t="shared" si="4"/>
        <v>rokwzgl=31 i lp=11500</v>
      </c>
      <c r="AK16" s="13" t="str">
        <f t="shared" si="4"/>
        <v>rokwzgl=32 i lp=11500</v>
      </c>
      <c r="AL16" s="13" t="str">
        <f t="shared" si="4"/>
        <v>rokwzgl=33 i lp=11500</v>
      </c>
      <c r="AM16" s="13" t="str">
        <f t="shared" si="4"/>
        <v>rokwzgl=34 i lp=11500</v>
      </c>
      <c r="AN16" s="13" t="str">
        <f t="shared" si="5"/>
        <v>rokwzgl=35 i lp=11500</v>
      </c>
      <c r="AO16" s="13" t="str">
        <f t="shared" si="5"/>
        <v>rokwzgl=36 i lp=11500</v>
      </c>
      <c r="AP16" s="13" t="str">
        <f t="shared" si="5"/>
        <v>rokwzgl=37 i lp=11500</v>
      </c>
      <c r="AQ16" s="13" t="str">
        <f t="shared" si="5"/>
        <v>rokwzgl=38 i lp=11500</v>
      </c>
      <c r="AR16" s="13" t="str">
        <f t="shared" si="5"/>
        <v>rokwzgl=39 i lp=11500</v>
      </c>
    </row>
    <row r="17" spans="1:44">
      <c r="A17" s="29">
        <v>11510</v>
      </c>
      <c r="B17" s="12" t="s">
        <v>196</v>
      </c>
      <c r="C17" s="13" t="s">
        <v>117</v>
      </c>
      <c r="D17" s="13" t="str">
        <f t="shared" si="2"/>
        <v>rokwzgl=0 i lp=11510</v>
      </c>
      <c r="E17" s="13" t="str">
        <f t="shared" si="2"/>
        <v>rokwzgl=0 i lp=11510</v>
      </c>
      <c r="F17" s="13" t="str">
        <f t="shared" si="2"/>
        <v>rokwzgl=1 i lp=11510</v>
      </c>
      <c r="G17" s="13" t="str">
        <f t="shared" si="2"/>
        <v>rokwzgl=2 i lp=11510</v>
      </c>
      <c r="H17" s="13" t="str">
        <f t="shared" si="2"/>
        <v>rokwzgl=3 i lp=11510</v>
      </c>
      <c r="I17" s="13" t="str">
        <f t="shared" si="2"/>
        <v>rokwzgl=4 i lp=11510</v>
      </c>
      <c r="J17" s="13" t="str">
        <f t="shared" si="2"/>
        <v>rokwzgl=5 i lp=11510</v>
      </c>
      <c r="K17" s="13" t="str">
        <f t="shared" si="2"/>
        <v>rokwzgl=6 i lp=11510</v>
      </c>
      <c r="L17" s="13" t="str">
        <f t="shared" si="2"/>
        <v>rokwzgl=7 i lp=11510</v>
      </c>
      <c r="M17" s="13" t="str">
        <f t="shared" si="2"/>
        <v>rokwzgl=8 i lp=11510</v>
      </c>
      <c r="N17" s="13" t="str">
        <f t="shared" si="3"/>
        <v>rokwzgl=9 i lp=11510</v>
      </c>
      <c r="O17" s="13" t="str">
        <f t="shared" si="3"/>
        <v>rokwzgl=10 i lp=11510</v>
      </c>
      <c r="P17" s="13" t="str">
        <f t="shared" si="3"/>
        <v>rokwzgl=11 i lp=11510</v>
      </c>
      <c r="Q17" s="13" t="str">
        <f t="shared" si="3"/>
        <v>rokwzgl=12 i lp=11510</v>
      </c>
      <c r="R17" s="13" t="str">
        <f t="shared" si="3"/>
        <v>rokwzgl=13 i lp=11510</v>
      </c>
      <c r="S17" s="13" t="str">
        <f t="shared" si="3"/>
        <v>rokwzgl=14 i lp=11510</v>
      </c>
      <c r="T17" s="13" t="str">
        <f t="shared" si="3"/>
        <v>rokwzgl=15 i lp=11510</v>
      </c>
      <c r="U17" s="13" t="str">
        <f t="shared" si="3"/>
        <v>rokwzgl=16 i lp=11510</v>
      </c>
      <c r="V17" s="13" t="str">
        <f t="shared" si="3"/>
        <v>rokwzgl=17 i lp=11510</v>
      </c>
      <c r="W17" s="13" t="str">
        <f t="shared" si="3"/>
        <v>rokwzgl=18 i lp=11510</v>
      </c>
      <c r="X17" s="13" t="str">
        <f t="shared" si="4"/>
        <v>rokwzgl=19 i lp=11510</v>
      </c>
      <c r="Y17" s="13" t="str">
        <f t="shared" si="4"/>
        <v>rokwzgl=20 i lp=11510</v>
      </c>
      <c r="Z17" s="13" t="str">
        <f t="shared" si="4"/>
        <v>rokwzgl=21 i lp=11510</v>
      </c>
      <c r="AA17" s="13" t="str">
        <f t="shared" si="4"/>
        <v>rokwzgl=22 i lp=11510</v>
      </c>
      <c r="AB17" s="13" t="str">
        <f t="shared" si="4"/>
        <v>rokwzgl=23 i lp=11510</v>
      </c>
      <c r="AC17" s="13" t="str">
        <f t="shared" si="4"/>
        <v>rokwzgl=24 i lp=11510</v>
      </c>
      <c r="AD17" s="13" t="str">
        <f t="shared" si="4"/>
        <v>rokwzgl=25 i lp=11510</v>
      </c>
      <c r="AE17" s="13" t="str">
        <f t="shared" si="4"/>
        <v>rokwzgl=26 i lp=11510</v>
      </c>
      <c r="AF17" s="13" t="str">
        <f t="shared" si="4"/>
        <v>rokwzgl=27 i lp=11510</v>
      </c>
      <c r="AG17" s="13" t="str">
        <f t="shared" si="4"/>
        <v>rokwzgl=28 i lp=11510</v>
      </c>
      <c r="AH17" s="13" t="str">
        <f t="shared" si="4"/>
        <v>rokwzgl=29 i lp=11510</v>
      </c>
      <c r="AI17" s="13" t="str">
        <f t="shared" si="4"/>
        <v>rokwzgl=30 i lp=11510</v>
      </c>
      <c r="AJ17" s="13" t="str">
        <f t="shared" si="4"/>
        <v>rokwzgl=31 i lp=11510</v>
      </c>
      <c r="AK17" s="13" t="str">
        <f t="shared" si="4"/>
        <v>rokwzgl=32 i lp=11510</v>
      </c>
      <c r="AL17" s="13" t="str">
        <f t="shared" si="4"/>
        <v>rokwzgl=33 i lp=11510</v>
      </c>
      <c r="AM17" s="13" t="str">
        <f t="shared" si="4"/>
        <v>rokwzgl=34 i lp=11510</v>
      </c>
      <c r="AN17" s="13" t="str">
        <f t="shared" si="5"/>
        <v>rokwzgl=35 i lp=11510</v>
      </c>
      <c r="AO17" s="13" t="str">
        <f t="shared" si="5"/>
        <v>rokwzgl=36 i lp=11510</v>
      </c>
      <c r="AP17" s="13" t="str">
        <f t="shared" si="5"/>
        <v>rokwzgl=37 i lp=11510</v>
      </c>
      <c r="AQ17" s="13" t="str">
        <f t="shared" si="5"/>
        <v>rokwzgl=38 i lp=11510</v>
      </c>
      <c r="AR17" s="13" t="str">
        <f t="shared" si="5"/>
        <v>rokwzgl=39 i lp=11510</v>
      </c>
    </row>
    <row r="18" spans="1:44">
      <c r="A18" s="29">
        <v>12000</v>
      </c>
      <c r="B18" s="12" t="s">
        <v>47</v>
      </c>
      <c r="C18" s="13" t="s">
        <v>118</v>
      </c>
      <c r="D18" s="13" t="str">
        <f t="shared" si="2"/>
        <v>rokwzgl=0 i lp=12000</v>
      </c>
      <c r="E18" s="13" t="str">
        <f t="shared" si="2"/>
        <v>rokwzgl=0 i lp=12000</v>
      </c>
      <c r="F18" s="13" t="str">
        <f t="shared" si="2"/>
        <v>rokwzgl=1 i lp=12000</v>
      </c>
      <c r="G18" s="13" t="str">
        <f t="shared" si="2"/>
        <v>rokwzgl=2 i lp=12000</v>
      </c>
      <c r="H18" s="13" t="str">
        <f t="shared" si="2"/>
        <v>rokwzgl=3 i lp=12000</v>
      </c>
      <c r="I18" s="13" t="str">
        <f t="shared" si="2"/>
        <v>rokwzgl=4 i lp=12000</v>
      </c>
      <c r="J18" s="13" t="str">
        <f t="shared" si="2"/>
        <v>rokwzgl=5 i lp=12000</v>
      </c>
      <c r="K18" s="13" t="str">
        <f t="shared" si="2"/>
        <v>rokwzgl=6 i lp=12000</v>
      </c>
      <c r="L18" s="13" t="str">
        <f t="shared" si="2"/>
        <v>rokwzgl=7 i lp=12000</v>
      </c>
      <c r="M18" s="13" t="str">
        <f t="shared" si="2"/>
        <v>rokwzgl=8 i lp=12000</v>
      </c>
      <c r="N18" s="13" t="str">
        <f t="shared" si="3"/>
        <v>rokwzgl=9 i lp=12000</v>
      </c>
      <c r="O18" s="13" t="str">
        <f t="shared" si="3"/>
        <v>rokwzgl=10 i lp=12000</v>
      </c>
      <c r="P18" s="13" t="str">
        <f t="shared" si="3"/>
        <v>rokwzgl=11 i lp=12000</v>
      </c>
      <c r="Q18" s="13" t="str">
        <f t="shared" si="3"/>
        <v>rokwzgl=12 i lp=12000</v>
      </c>
      <c r="R18" s="13" t="str">
        <f t="shared" si="3"/>
        <v>rokwzgl=13 i lp=12000</v>
      </c>
      <c r="S18" s="13" t="str">
        <f t="shared" si="3"/>
        <v>rokwzgl=14 i lp=12000</v>
      </c>
      <c r="T18" s="13" t="str">
        <f t="shared" si="3"/>
        <v>rokwzgl=15 i lp=12000</v>
      </c>
      <c r="U18" s="13" t="str">
        <f t="shared" si="3"/>
        <v>rokwzgl=16 i lp=12000</v>
      </c>
      <c r="V18" s="13" t="str">
        <f t="shared" si="3"/>
        <v>rokwzgl=17 i lp=12000</v>
      </c>
      <c r="W18" s="13" t="str">
        <f t="shared" si="3"/>
        <v>rokwzgl=18 i lp=12000</v>
      </c>
      <c r="X18" s="13" t="str">
        <f t="shared" si="4"/>
        <v>rokwzgl=19 i lp=12000</v>
      </c>
      <c r="Y18" s="13" t="str">
        <f t="shared" si="4"/>
        <v>rokwzgl=20 i lp=12000</v>
      </c>
      <c r="Z18" s="13" t="str">
        <f t="shared" si="4"/>
        <v>rokwzgl=21 i lp=12000</v>
      </c>
      <c r="AA18" s="13" t="str">
        <f t="shared" si="4"/>
        <v>rokwzgl=22 i lp=12000</v>
      </c>
      <c r="AB18" s="13" t="str">
        <f t="shared" si="4"/>
        <v>rokwzgl=23 i lp=12000</v>
      </c>
      <c r="AC18" s="13" t="str">
        <f t="shared" si="4"/>
        <v>rokwzgl=24 i lp=12000</v>
      </c>
      <c r="AD18" s="13" t="str">
        <f t="shared" si="4"/>
        <v>rokwzgl=25 i lp=12000</v>
      </c>
      <c r="AE18" s="13" t="str">
        <f t="shared" si="4"/>
        <v>rokwzgl=26 i lp=12000</v>
      </c>
      <c r="AF18" s="13" t="str">
        <f t="shared" si="4"/>
        <v>rokwzgl=27 i lp=12000</v>
      </c>
      <c r="AG18" s="13" t="str">
        <f t="shared" si="4"/>
        <v>rokwzgl=28 i lp=12000</v>
      </c>
      <c r="AH18" s="13" t="str">
        <f t="shared" si="4"/>
        <v>rokwzgl=29 i lp=12000</v>
      </c>
      <c r="AI18" s="13" t="str">
        <f t="shared" si="4"/>
        <v>rokwzgl=30 i lp=12000</v>
      </c>
      <c r="AJ18" s="13" t="str">
        <f t="shared" si="4"/>
        <v>rokwzgl=31 i lp=12000</v>
      </c>
      <c r="AK18" s="13" t="str">
        <f t="shared" si="4"/>
        <v>rokwzgl=32 i lp=12000</v>
      </c>
      <c r="AL18" s="13" t="str">
        <f t="shared" si="4"/>
        <v>rokwzgl=33 i lp=12000</v>
      </c>
      <c r="AM18" s="13" t="str">
        <f t="shared" si="4"/>
        <v>rokwzgl=34 i lp=12000</v>
      </c>
      <c r="AN18" s="13" t="str">
        <f t="shared" si="5"/>
        <v>rokwzgl=35 i lp=12000</v>
      </c>
      <c r="AO18" s="13" t="str">
        <f t="shared" si="5"/>
        <v>rokwzgl=36 i lp=12000</v>
      </c>
      <c r="AP18" s="13" t="str">
        <f t="shared" si="5"/>
        <v>rokwzgl=37 i lp=12000</v>
      </c>
      <c r="AQ18" s="13" t="str">
        <f t="shared" si="5"/>
        <v>rokwzgl=38 i lp=12000</v>
      </c>
      <c r="AR18" s="13" t="str">
        <f t="shared" si="5"/>
        <v>rokwzgl=39 i lp=12000</v>
      </c>
    </row>
    <row r="19" spans="1:44">
      <c r="A19" s="29">
        <v>12100</v>
      </c>
      <c r="B19" s="12" t="s">
        <v>32</v>
      </c>
      <c r="C19" s="13" t="s">
        <v>119</v>
      </c>
      <c r="D19" s="13" t="str">
        <f t="shared" si="2"/>
        <v>rokwzgl=0 i lp=12100</v>
      </c>
      <c r="E19" s="13" t="str">
        <f t="shared" si="2"/>
        <v>rokwzgl=0 i lp=12100</v>
      </c>
      <c r="F19" s="13" t="str">
        <f t="shared" si="2"/>
        <v>rokwzgl=1 i lp=12100</v>
      </c>
      <c r="G19" s="13" t="str">
        <f t="shared" si="2"/>
        <v>rokwzgl=2 i lp=12100</v>
      </c>
      <c r="H19" s="13" t="str">
        <f t="shared" si="2"/>
        <v>rokwzgl=3 i lp=12100</v>
      </c>
      <c r="I19" s="13" t="str">
        <f t="shared" si="2"/>
        <v>rokwzgl=4 i lp=12100</v>
      </c>
      <c r="J19" s="13" t="str">
        <f t="shared" si="2"/>
        <v>rokwzgl=5 i lp=12100</v>
      </c>
      <c r="K19" s="13" t="str">
        <f t="shared" si="2"/>
        <v>rokwzgl=6 i lp=12100</v>
      </c>
      <c r="L19" s="13" t="str">
        <f t="shared" si="2"/>
        <v>rokwzgl=7 i lp=12100</v>
      </c>
      <c r="M19" s="13" t="str">
        <f t="shared" si="2"/>
        <v>rokwzgl=8 i lp=12100</v>
      </c>
      <c r="N19" s="13" t="str">
        <f t="shared" si="3"/>
        <v>rokwzgl=9 i lp=12100</v>
      </c>
      <c r="O19" s="13" t="str">
        <f t="shared" si="3"/>
        <v>rokwzgl=10 i lp=12100</v>
      </c>
      <c r="P19" s="13" t="str">
        <f t="shared" si="3"/>
        <v>rokwzgl=11 i lp=12100</v>
      </c>
      <c r="Q19" s="13" t="str">
        <f t="shared" si="3"/>
        <v>rokwzgl=12 i lp=12100</v>
      </c>
      <c r="R19" s="13" t="str">
        <f t="shared" si="3"/>
        <v>rokwzgl=13 i lp=12100</v>
      </c>
      <c r="S19" s="13" t="str">
        <f t="shared" si="3"/>
        <v>rokwzgl=14 i lp=12100</v>
      </c>
      <c r="T19" s="13" t="str">
        <f t="shared" si="3"/>
        <v>rokwzgl=15 i lp=12100</v>
      </c>
      <c r="U19" s="13" t="str">
        <f t="shared" si="3"/>
        <v>rokwzgl=16 i lp=12100</v>
      </c>
      <c r="V19" s="13" t="str">
        <f t="shared" si="3"/>
        <v>rokwzgl=17 i lp=12100</v>
      </c>
      <c r="W19" s="13" t="str">
        <f t="shared" si="3"/>
        <v>rokwzgl=18 i lp=12100</v>
      </c>
      <c r="X19" s="13" t="str">
        <f t="shared" si="4"/>
        <v>rokwzgl=19 i lp=12100</v>
      </c>
      <c r="Y19" s="13" t="str">
        <f t="shared" si="4"/>
        <v>rokwzgl=20 i lp=12100</v>
      </c>
      <c r="Z19" s="13" t="str">
        <f t="shared" si="4"/>
        <v>rokwzgl=21 i lp=12100</v>
      </c>
      <c r="AA19" s="13" t="str">
        <f t="shared" si="4"/>
        <v>rokwzgl=22 i lp=12100</v>
      </c>
      <c r="AB19" s="13" t="str">
        <f t="shared" si="4"/>
        <v>rokwzgl=23 i lp=12100</v>
      </c>
      <c r="AC19" s="13" t="str">
        <f t="shared" si="4"/>
        <v>rokwzgl=24 i lp=12100</v>
      </c>
      <c r="AD19" s="13" t="str">
        <f t="shared" si="4"/>
        <v>rokwzgl=25 i lp=12100</v>
      </c>
      <c r="AE19" s="13" t="str">
        <f t="shared" si="4"/>
        <v>rokwzgl=26 i lp=12100</v>
      </c>
      <c r="AF19" s="13" t="str">
        <f t="shared" si="4"/>
        <v>rokwzgl=27 i lp=12100</v>
      </c>
      <c r="AG19" s="13" t="str">
        <f t="shared" si="4"/>
        <v>rokwzgl=28 i lp=12100</v>
      </c>
      <c r="AH19" s="13" t="str">
        <f t="shared" si="4"/>
        <v>rokwzgl=29 i lp=12100</v>
      </c>
      <c r="AI19" s="13" t="str">
        <f t="shared" si="4"/>
        <v>rokwzgl=30 i lp=12100</v>
      </c>
      <c r="AJ19" s="13" t="str">
        <f t="shared" ref="AJ19:AM38" si="6">+"rokwzgl="&amp;AJ$9&amp;" i lp="&amp;$A19</f>
        <v>rokwzgl=31 i lp=12100</v>
      </c>
      <c r="AK19" s="13" t="str">
        <f t="shared" si="6"/>
        <v>rokwzgl=32 i lp=12100</v>
      </c>
      <c r="AL19" s="13" t="str">
        <f t="shared" si="6"/>
        <v>rokwzgl=33 i lp=12100</v>
      </c>
      <c r="AM19" s="13" t="str">
        <f t="shared" si="6"/>
        <v>rokwzgl=34 i lp=12100</v>
      </c>
      <c r="AN19" s="13" t="str">
        <f t="shared" si="5"/>
        <v>rokwzgl=35 i lp=12100</v>
      </c>
      <c r="AO19" s="13" t="str">
        <f t="shared" si="5"/>
        <v>rokwzgl=36 i lp=12100</v>
      </c>
      <c r="AP19" s="13" t="str">
        <f t="shared" si="5"/>
        <v>rokwzgl=37 i lp=12100</v>
      </c>
      <c r="AQ19" s="13" t="str">
        <f t="shared" si="5"/>
        <v>rokwzgl=38 i lp=12100</v>
      </c>
      <c r="AR19" s="13" t="str">
        <f t="shared" si="5"/>
        <v>rokwzgl=39 i lp=12100</v>
      </c>
    </row>
    <row r="20" spans="1:44">
      <c r="A20" s="29">
        <v>12200</v>
      </c>
      <c r="B20" s="12" t="s">
        <v>33</v>
      </c>
      <c r="C20" s="13" t="s">
        <v>120</v>
      </c>
      <c r="D20" s="13" t="str">
        <f t="shared" si="2"/>
        <v>rokwzgl=0 i lp=12200</v>
      </c>
      <c r="E20" s="13" t="str">
        <f t="shared" si="2"/>
        <v>rokwzgl=0 i lp=12200</v>
      </c>
      <c r="F20" s="13" t="str">
        <f t="shared" si="2"/>
        <v>rokwzgl=1 i lp=12200</v>
      </c>
      <c r="G20" s="13" t="str">
        <f t="shared" si="2"/>
        <v>rokwzgl=2 i lp=12200</v>
      </c>
      <c r="H20" s="13" t="str">
        <f t="shared" si="2"/>
        <v>rokwzgl=3 i lp=12200</v>
      </c>
      <c r="I20" s="13" t="str">
        <f t="shared" si="2"/>
        <v>rokwzgl=4 i lp=12200</v>
      </c>
      <c r="J20" s="13" t="str">
        <f t="shared" si="2"/>
        <v>rokwzgl=5 i lp=12200</v>
      </c>
      <c r="K20" s="13" t="str">
        <f t="shared" si="2"/>
        <v>rokwzgl=6 i lp=12200</v>
      </c>
      <c r="L20" s="13" t="str">
        <f t="shared" si="2"/>
        <v>rokwzgl=7 i lp=12200</v>
      </c>
      <c r="M20" s="13" t="str">
        <f t="shared" si="2"/>
        <v>rokwzgl=8 i lp=12200</v>
      </c>
      <c r="N20" s="13" t="str">
        <f t="shared" si="3"/>
        <v>rokwzgl=9 i lp=12200</v>
      </c>
      <c r="O20" s="13" t="str">
        <f t="shared" si="3"/>
        <v>rokwzgl=10 i lp=12200</v>
      </c>
      <c r="P20" s="13" t="str">
        <f t="shared" si="3"/>
        <v>rokwzgl=11 i lp=12200</v>
      </c>
      <c r="Q20" s="13" t="str">
        <f t="shared" si="3"/>
        <v>rokwzgl=12 i lp=12200</v>
      </c>
      <c r="R20" s="13" t="str">
        <f t="shared" si="3"/>
        <v>rokwzgl=13 i lp=12200</v>
      </c>
      <c r="S20" s="13" t="str">
        <f t="shared" si="3"/>
        <v>rokwzgl=14 i lp=12200</v>
      </c>
      <c r="T20" s="13" t="str">
        <f t="shared" si="3"/>
        <v>rokwzgl=15 i lp=12200</v>
      </c>
      <c r="U20" s="13" t="str">
        <f t="shared" si="3"/>
        <v>rokwzgl=16 i lp=12200</v>
      </c>
      <c r="V20" s="13" t="str">
        <f t="shared" si="3"/>
        <v>rokwzgl=17 i lp=12200</v>
      </c>
      <c r="W20" s="13" t="str">
        <f t="shared" si="3"/>
        <v>rokwzgl=18 i lp=12200</v>
      </c>
      <c r="X20" s="13" t="str">
        <f t="shared" ref="X20:AI29" si="7">+"rokwzgl="&amp;X$9&amp;" i lp="&amp;$A20</f>
        <v>rokwzgl=19 i lp=12200</v>
      </c>
      <c r="Y20" s="13" t="str">
        <f t="shared" si="7"/>
        <v>rokwzgl=20 i lp=12200</v>
      </c>
      <c r="Z20" s="13" t="str">
        <f t="shared" si="7"/>
        <v>rokwzgl=21 i lp=12200</v>
      </c>
      <c r="AA20" s="13" t="str">
        <f t="shared" si="7"/>
        <v>rokwzgl=22 i lp=12200</v>
      </c>
      <c r="AB20" s="13" t="str">
        <f t="shared" si="7"/>
        <v>rokwzgl=23 i lp=12200</v>
      </c>
      <c r="AC20" s="13" t="str">
        <f t="shared" si="7"/>
        <v>rokwzgl=24 i lp=12200</v>
      </c>
      <c r="AD20" s="13" t="str">
        <f t="shared" si="7"/>
        <v>rokwzgl=25 i lp=12200</v>
      </c>
      <c r="AE20" s="13" t="str">
        <f t="shared" si="7"/>
        <v>rokwzgl=26 i lp=12200</v>
      </c>
      <c r="AF20" s="13" t="str">
        <f t="shared" si="7"/>
        <v>rokwzgl=27 i lp=12200</v>
      </c>
      <c r="AG20" s="13" t="str">
        <f t="shared" si="7"/>
        <v>rokwzgl=28 i lp=12200</v>
      </c>
      <c r="AH20" s="13" t="str">
        <f t="shared" si="7"/>
        <v>rokwzgl=29 i lp=12200</v>
      </c>
      <c r="AI20" s="13" t="str">
        <f t="shared" si="7"/>
        <v>rokwzgl=30 i lp=12200</v>
      </c>
      <c r="AJ20" s="13" t="str">
        <f t="shared" si="6"/>
        <v>rokwzgl=31 i lp=12200</v>
      </c>
      <c r="AK20" s="13" t="str">
        <f t="shared" si="6"/>
        <v>rokwzgl=32 i lp=12200</v>
      </c>
      <c r="AL20" s="13" t="str">
        <f t="shared" si="6"/>
        <v>rokwzgl=33 i lp=12200</v>
      </c>
      <c r="AM20" s="13" t="str">
        <f t="shared" si="6"/>
        <v>rokwzgl=34 i lp=12200</v>
      </c>
      <c r="AN20" s="13" t="str">
        <f t="shared" si="5"/>
        <v>rokwzgl=35 i lp=12200</v>
      </c>
      <c r="AO20" s="13" t="str">
        <f t="shared" si="5"/>
        <v>rokwzgl=36 i lp=12200</v>
      </c>
      <c r="AP20" s="13" t="str">
        <f t="shared" si="5"/>
        <v>rokwzgl=37 i lp=12200</v>
      </c>
      <c r="AQ20" s="13" t="str">
        <f t="shared" si="5"/>
        <v>rokwzgl=38 i lp=12200</v>
      </c>
      <c r="AR20" s="13" t="str">
        <f t="shared" si="5"/>
        <v>rokwzgl=39 i lp=12200</v>
      </c>
    </row>
    <row r="21" spans="1:44">
      <c r="A21" s="29">
        <v>20000</v>
      </c>
      <c r="B21" s="12">
        <v>2</v>
      </c>
      <c r="C21" s="13" t="s">
        <v>17</v>
      </c>
      <c r="D21" s="13" t="str">
        <f t="shared" si="2"/>
        <v>rokwzgl=0 i lp=20000</v>
      </c>
      <c r="E21" s="13" t="str">
        <f t="shared" si="2"/>
        <v>rokwzgl=0 i lp=20000</v>
      </c>
      <c r="F21" s="13" t="str">
        <f t="shared" si="2"/>
        <v>rokwzgl=1 i lp=20000</v>
      </c>
      <c r="G21" s="13" t="str">
        <f t="shared" si="2"/>
        <v>rokwzgl=2 i lp=20000</v>
      </c>
      <c r="H21" s="13" t="str">
        <f t="shared" si="2"/>
        <v>rokwzgl=3 i lp=20000</v>
      </c>
      <c r="I21" s="13" t="str">
        <f t="shared" si="2"/>
        <v>rokwzgl=4 i lp=20000</v>
      </c>
      <c r="J21" s="13" t="str">
        <f t="shared" si="2"/>
        <v>rokwzgl=5 i lp=20000</v>
      </c>
      <c r="K21" s="13" t="str">
        <f t="shared" si="2"/>
        <v>rokwzgl=6 i lp=20000</v>
      </c>
      <c r="L21" s="13" t="str">
        <f t="shared" si="2"/>
        <v>rokwzgl=7 i lp=20000</v>
      </c>
      <c r="M21" s="13" t="str">
        <f t="shared" si="2"/>
        <v>rokwzgl=8 i lp=20000</v>
      </c>
      <c r="N21" s="13" t="str">
        <f t="shared" si="3"/>
        <v>rokwzgl=9 i lp=20000</v>
      </c>
      <c r="O21" s="13" t="str">
        <f t="shared" si="3"/>
        <v>rokwzgl=10 i lp=20000</v>
      </c>
      <c r="P21" s="13" t="str">
        <f t="shared" si="3"/>
        <v>rokwzgl=11 i lp=20000</v>
      </c>
      <c r="Q21" s="13" t="str">
        <f t="shared" si="3"/>
        <v>rokwzgl=12 i lp=20000</v>
      </c>
      <c r="R21" s="13" t="str">
        <f t="shared" si="3"/>
        <v>rokwzgl=13 i lp=20000</v>
      </c>
      <c r="S21" s="13" t="str">
        <f t="shared" si="3"/>
        <v>rokwzgl=14 i lp=20000</v>
      </c>
      <c r="T21" s="13" t="str">
        <f t="shared" si="3"/>
        <v>rokwzgl=15 i lp=20000</v>
      </c>
      <c r="U21" s="13" t="str">
        <f t="shared" si="3"/>
        <v>rokwzgl=16 i lp=20000</v>
      </c>
      <c r="V21" s="13" t="str">
        <f t="shared" si="3"/>
        <v>rokwzgl=17 i lp=20000</v>
      </c>
      <c r="W21" s="13" t="str">
        <f t="shared" si="3"/>
        <v>rokwzgl=18 i lp=20000</v>
      </c>
      <c r="X21" s="13" t="str">
        <f t="shared" si="7"/>
        <v>rokwzgl=19 i lp=20000</v>
      </c>
      <c r="Y21" s="13" t="str">
        <f t="shared" si="7"/>
        <v>rokwzgl=20 i lp=20000</v>
      </c>
      <c r="Z21" s="13" t="str">
        <f t="shared" si="7"/>
        <v>rokwzgl=21 i lp=20000</v>
      </c>
      <c r="AA21" s="13" t="str">
        <f t="shared" si="7"/>
        <v>rokwzgl=22 i lp=20000</v>
      </c>
      <c r="AB21" s="13" t="str">
        <f t="shared" si="7"/>
        <v>rokwzgl=23 i lp=20000</v>
      </c>
      <c r="AC21" s="13" t="str">
        <f t="shared" si="7"/>
        <v>rokwzgl=24 i lp=20000</v>
      </c>
      <c r="AD21" s="13" t="str">
        <f t="shared" si="7"/>
        <v>rokwzgl=25 i lp=20000</v>
      </c>
      <c r="AE21" s="13" t="str">
        <f t="shared" si="7"/>
        <v>rokwzgl=26 i lp=20000</v>
      </c>
      <c r="AF21" s="13" t="str">
        <f t="shared" si="7"/>
        <v>rokwzgl=27 i lp=20000</v>
      </c>
      <c r="AG21" s="13" t="str">
        <f t="shared" si="7"/>
        <v>rokwzgl=28 i lp=20000</v>
      </c>
      <c r="AH21" s="13" t="str">
        <f t="shared" si="7"/>
        <v>rokwzgl=29 i lp=20000</v>
      </c>
      <c r="AI21" s="13" t="str">
        <f t="shared" si="7"/>
        <v>rokwzgl=30 i lp=20000</v>
      </c>
      <c r="AJ21" s="13" t="str">
        <f t="shared" si="6"/>
        <v>rokwzgl=31 i lp=20000</v>
      </c>
      <c r="AK21" s="13" t="str">
        <f t="shared" si="6"/>
        <v>rokwzgl=32 i lp=20000</v>
      </c>
      <c r="AL21" s="13" t="str">
        <f t="shared" si="6"/>
        <v>rokwzgl=33 i lp=20000</v>
      </c>
      <c r="AM21" s="13" t="str">
        <f t="shared" si="6"/>
        <v>rokwzgl=34 i lp=20000</v>
      </c>
      <c r="AN21" s="13" t="str">
        <f t="shared" si="5"/>
        <v>rokwzgl=35 i lp=20000</v>
      </c>
      <c r="AO21" s="13" t="str">
        <f t="shared" si="5"/>
        <v>rokwzgl=36 i lp=20000</v>
      </c>
      <c r="AP21" s="13" t="str">
        <f t="shared" si="5"/>
        <v>rokwzgl=37 i lp=20000</v>
      </c>
      <c r="AQ21" s="13" t="str">
        <f t="shared" si="5"/>
        <v>rokwzgl=38 i lp=20000</v>
      </c>
      <c r="AR21" s="13" t="str">
        <f t="shared" si="5"/>
        <v>rokwzgl=39 i lp=20000</v>
      </c>
    </row>
    <row r="22" spans="1:44">
      <c r="A22" s="29">
        <v>21000</v>
      </c>
      <c r="B22" s="12" t="s">
        <v>48</v>
      </c>
      <c r="C22" s="13" t="s">
        <v>121</v>
      </c>
      <c r="D22" s="13" t="str">
        <f t="shared" si="2"/>
        <v>rokwzgl=0 i lp=21000</v>
      </c>
      <c r="E22" s="13" t="str">
        <f t="shared" si="2"/>
        <v>rokwzgl=0 i lp=21000</v>
      </c>
      <c r="F22" s="13" t="str">
        <f t="shared" si="2"/>
        <v>rokwzgl=1 i lp=21000</v>
      </c>
      <c r="G22" s="13" t="str">
        <f t="shared" si="2"/>
        <v>rokwzgl=2 i lp=21000</v>
      </c>
      <c r="H22" s="13" t="str">
        <f t="shared" si="2"/>
        <v>rokwzgl=3 i lp=21000</v>
      </c>
      <c r="I22" s="13" t="str">
        <f t="shared" si="2"/>
        <v>rokwzgl=4 i lp=21000</v>
      </c>
      <c r="J22" s="13" t="str">
        <f t="shared" si="2"/>
        <v>rokwzgl=5 i lp=21000</v>
      </c>
      <c r="K22" s="13" t="str">
        <f t="shared" si="2"/>
        <v>rokwzgl=6 i lp=21000</v>
      </c>
      <c r="L22" s="13" t="str">
        <f t="shared" si="2"/>
        <v>rokwzgl=7 i lp=21000</v>
      </c>
      <c r="M22" s="13" t="str">
        <f t="shared" si="2"/>
        <v>rokwzgl=8 i lp=21000</v>
      </c>
      <c r="N22" s="13" t="str">
        <f t="shared" si="3"/>
        <v>rokwzgl=9 i lp=21000</v>
      </c>
      <c r="O22" s="13" t="str">
        <f t="shared" si="3"/>
        <v>rokwzgl=10 i lp=21000</v>
      </c>
      <c r="P22" s="13" t="str">
        <f t="shared" si="3"/>
        <v>rokwzgl=11 i lp=21000</v>
      </c>
      <c r="Q22" s="13" t="str">
        <f t="shared" si="3"/>
        <v>rokwzgl=12 i lp=21000</v>
      </c>
      <c r="R22" s="13" t="str">
        <f t="shared" si="3"/>
        <v>rokwzgl=13 i lp=21000</v>
      </c>
      <c r="S22" s="13" t="str">
        <f t="shared" si="3"/>
        <v>rokwzgl=14 i lp=21000</v>
      </c>
      <c r="T22" s="13" t="str">
        <f t="shared" si="3"/>
        <v>rokwzgl=15 i lp=21000</v>
      </c>
      <c r="U22" s="13" t="str">
        <f t="shared" si="3"/>
        <v>rokwzgl=16 i lp=21000</v>
      </c>
      <c r="V22" s="13" t="str">
        <f t="shared" si="3"/>
        <v>rokwzgl=17 i lp=21000</v>
      </c>
      <c r="W22" s="13" t="str">
        <f t="shared" si="3"/>
        <v>rokwzgl=18 i lp=21000</v>
      </c>
      <c r="X22" s="13" t="str">
        <f t="shared" si="7"/>
        <v>rokwzgl=19 i lp=21000</v>
      </c>
      <c r="Y22" s="13" t="str">
        <f t="shared" si="7"/>
        <v>rokwzgl=20 i lp=21000</v>
      </c>
      <c r="Z22" s="13" t="str">
        <f t="shared" si="7"/>
        <v>rokwzgl=21 i lp=21000</v>
      </c>
      <c r="AA22" s="13" t="str">
        <f t="shared" si="7"/>
        <v>rokwzgl=22 i lp=21000</v>
      </c>
      <c r="AB22" s="13" t="str">
        <f t="shared" si="7"/>
        <v>rokwzgl=23 i lp=21000</v>
      </c>
      <c r="AC22" s="13" t="str">
        <f t="shared" si="7"/>
        <v>rokwzgl=24 i lp=21000</v>
      </c>
      <c r="AD22" s="13" t="str">
        <f t="shared" si="7"/>
        <v>rokwzgl=25 i lp=21000</v>
      </c>
      <c r="AE22" s="13" t="str">
        <f t="shared" si="7"/>
        <v>rokwzgl=26 i lp=21000</v>
      </c>
      <c r="AF22" s="13" t="str">
        <f t="shared" si="7"/>
        <v>rokwzgl=27 i lp=21000</v>
      </c>
      <c r="AG22" s="13" t="str">
        <f t="shared" si="7"/>
        <v>rokwzgl=28 i lp=21000</v>
      </c>
      <c r="AH22" s="13" t="str">
        <f t="shared" si="7"/>
        <v>rokwzgl=29 i lp=21000</v>
      </c>
      <c r="AI22" s="13" t="str">
        <f t="shared" si="7"/>
        <v>rokwzgl=30 i lp=21000</v>
      </c>
      <c r="AJ22" s="13" t="str">
        <f t="shared" si="6"/>
        <v>rokwzgl=31 i lp=21000</v>
      </c>
      <c r="AK22" s="13" t="str">
        <f t="shared" si="6"/>
        <v>rokwzgl=32 i lp=21000</v>
      </c>
      <c r="AL22" s="13" t="str">
        <f t="shared" si="6"/>
        <v>rokwzgl=33 i lp=21000</v>
      </c>
      <c r="AM22" s="13" t="str">
        <f t="shared" si="6"/>
        <v>rokwzgl=34 i lp=21000</v>
      </c>
      <c r="AN22" s="13" t="str">
        <f t="shared" si="5"/>
        <v>rokwzgl=35 i lp=21000</v>
      </c>
      <c r="AO22" s="13" t="str">
        <f t="shared" si="5"/>
        <v>rokwzgl=36 i lp=21000</v>
      </c>
      <c r="AP22" s="13" t="str">
        <f t="shared" si="5"/>
        <v>rokwzgl=37 i lp=21000</v>
      </c>
      <c r="AQ22" s="13" t="str">
        <f t="shared" si="5"/>
        <v>rokwzgl=38 i lp=21000</v>
      </c>
      <c r="AR22" s="13" t="str">
        <f t="shared" si="5"/>
        <v>rokwzgl=39 i lp=21000</v>
      </c>
    </row>
    <row r="23" spans="1:44">
      <c r="A23" s="29">
        <v>21100</v>
      </c>
      <c r="B23" s="12" t="s">
        <v>34</v>
      </c>
      <c r="C23" s="13" t="s">
        <v>122</v>
      </c>
      <c r="D23" s="13" t="str">
        <f t="shared" si="2"/>
        <v>rokwzgl=0 i lp=21100</v>
      </c>
      <c r="E23" s="13" t="str">
        <f t="shared" si="2"/>
        <v>rokwzgl=0 i lp=21100</v>
      </c>
      <c r="F23" s="13" t="str">
        <f t="shared" si="2"/>
        <v>rokwzgl=1 i lp=21100</v>
      </c>
      <c r="G23" s="13" t="str">
        <f t="shared" si="2"/>
        <v>rokwzgl=2 i lp=21100</v>
      </c>
      <c r="H23" s="13" t="str">
        <f t="shared" si="2"/>
        <v>rokwzgl=3 i lp=21100</v>
      </c>
      <c r="I23" s="13" t="str">
        <f t="shared" si="2"/>
        <v>rokwzgl=4 i lp=21100</v>
      </c>
      <c r="J23" s="13" t="str">
        <f t="shared" si="2"/>
        <v>rokwzgl=5 i lp=21100</v>
      </c>
      <c r="K23" s="13" t="str">
        <f t="shared" si="2"/>
        <v>rokwzgl=6 i lp=21100</v>
      </c>
      <c r="L23" s="13" t="str">
        <f t="shared" si="2"/>
        <v>rokwzgl=7 i lp=21100</v>
      </c>
      <c r="M23" s="13" t="str">
        <f t="shared" si="2"/>
        <v>rokwzgl=8 i lp=21100</v>
      </c>
      <c r="N23" s="13" t="str">
        <f t="shared" si="3"/>
        <v>rokwzgl=9 i lp=21100</v>
      </c>
      <c r="O23" s="13" t="str">
        <f t="shared" si="3"/>
        <v>rokwzgl=10 i lp=21100</v>
      </c>
      <c r="P23" s="13" t="str">
        <f t="shared" si="3"/>
        <v>rokwzgl=11 i lp=21100</v>
      </c>
      <c r="Q23" s="13" t="str">
        <f t="shared" si="3"/>
        <v>rokwzgl=12 i lp=21100</v>
      </c>
      <c r="R23" s="13" t="str">
        <f t="shared" si="3"/>
        <v>rokwzgl=13 i lp=21100</v>
      </c>
      <c r="S23" s="13" t="str">
        <f t="shared" si="3"/>
        <v>rokwzgl=14 i lp=21100</v>
      </c>
      <c r="T23" s="13" t="str">
        <f t="shared" si="3"/>
        <v>rokwzgl=15 i lp=21100</v>
      </c>
      <c r="U23" s="13" t="str">
        <f t="shared" si="3"/>
        <v>rokwzgl=16 i lp=21100</v>
      </c>
      <c r="V23" s="13" t="str">
        <f t="shared" si="3"/>
        <v>rokwzgl=17 i lp=21100</v>
      </c>
      <c r="W23" s="13" t="str">
        <f t="shared" si="3"/>
        <v>rokwzgl=18 i lp=21100</v>
      </c>
      <c r="X23" s="13" t="str">
        <f t="shared" si="7"/>
        <v>rokwzgl=19 i lp=21100</v>
      </c>
      <c r="Y23" s="13" t="str">
        <f t="shared" si="7"/>
        <v>rokwzgl=20 i lp=21100</v>
      </c>
      <c r="Z23" s="13" t="str">
        <f t="shared" si="7"/>
        <v>rokwzgl=21 i lp=21100</v>
      </c>
      <c r="AA23" s="13" t="str">
        <f t="shared" si="7"/>
        <v>rokwzgl=22 i lp=21100</v>
      </c>
      <c r="AB23" s="13" t="str">
        <f t="shared" si="7"/>
        <v>rokwzgl=23 i lp=21100</v>
      </c>
      <c r="AC23" s="13" t="str">
        <f t="shared" si="7"/>
        <v>rokwzgl=24 i lp=21100</v>
      </c>
      <c r="AD23" s="13" t="str">
        <f t="shared" si="7"/>
        <v>rokwzgl=25 i lp=21100</v>
      </c>
      <c r="AE23" s="13" t="str">
        <f t="shared" si="7"/>
        <v>rokwzgl=26 i lp=21100</v>
      </c>
      <c r="AF23" s="13" t="str">
        <f t="shared" si="7"/>
        <v>rokwzgl=27 i lp=21100</v>
      </c>
      <c r="AG23" s="13" t="str">
        <f t="shared" si="7"/>
        <v>rokwzgl=28 i lp=21100</v>
      </c>
      <c r="AH23" s="13" t="str">
        <f t="shared" si="7"/>
        <v>rokwzgl=29 i lp=21100</v>
      </c>
      <c r="AI23" s="13" t="str">
        <f t="shared" si="7"/>
        <v>rokwzgl=30 i lp=21100</v>
      </c>
      <c r="AJ23" s="13" t="str">
        <f t="shared" si="6"/>
        <v>rokwzgl=31 i lp=21100</v>
      </c>
      <c r="AK23" s="13" t="str">
        <f t="shared" si="6"/>
        <v>rokwzgl=32 i lp=21100</v>
      </c>
      <c r="AL23" s="13" t="str">
        <f t="shared" si="6"/>
        <v>rokwzgl=33 i lp=21100</v>
      </c>
      <c r="AM23" s="13" t="str">
        <f t="shared" si="6"/>
        <v>rokwzgl=34 i lp=21100</v>
      </c>
      <c r="AN23" s="13" t="str">
        <f t="shared" si="5"/>
        <v>rokwzgl=35 i lp=21100</v>
      </c>
      <c r="AO23" s="13" t="str">
        <f t="shared" si="5"/>
        <v>rokwzgl=36 i lp=21100</v>
      </c>
      <c r="AP23" s="13" t="str">
        <f t="shared" si="5"/>
        <v>rokwzgl=37 i lp=21100</v>
      </c>
      <c r="AQ23" s="13" t="str">
        <f t="shared" si="5"/>
        <v>rokwzgl=38 i lp=21100</v>
      </c>
      <c r="AR23" s="13" t="str">
        <f t="shared" si="5"/>
        <v>rokwzgl=39 i lp=21100</v>
      </c>
    </row>
    <row r="24" spans="1:44">
      <c r="A24" s="29">
        <v>21200</v>
      </c>
      <c r="B24" s="12" t="s">
        <v>35</v>
      </c>
      <c r="C24" s="13" t="s">
        <v>123</v>
      </c>
      <c r="D24" s="13" t="str">
        <f t="shared" si="2"/>
        <v>rokwzgl=0 i lp=21200</v>
      </c>
      <c r="E24" s="13" t="str">
        <f t="shared" si="2"/>
        <v>rokwzgl=0 i lp=21200</v>
      </c>
      <c r="F24" s="13" t="str">
        <f t="shared" si="2"/>
        <v>rokwzgl=1 i lp=21200</v>
      </c>
      <c r="G24" s="13" t="str">
        <f t="shared" si="2"/>
        <v>rokwzgl=2 i lp=21200</v>
      </c>
      <c r="H24" s="13" t="str">
        <f t="shared" si="2"/>
        <v>rokwzgl=3 i lp=21200</v>
      </c>
      <c r="I24" s="13" t="str">
        <f t="shared" si="2"/>
        <v>rokwzgl=4 i lp=21200</v>
      </c>
      <c r="J24" s="13" t="str">
        <f t="shared" si="2"/>
        <v>rokwzgl=5 i lp=21200</v>
      </c>
      <c r="K24" s="13" t="str">
        <f t="shared" si="2"/>
        <v>rokwzgl=6 i lp=21200</v>
      </c>
      <c r="L24" s="13" t="str">
        <f t="shared" si="2"/>
        <v>rokwzgl=7 i lp=21200</v>
      </c>
      <c r="M24" s="13" t="str">
        <f t="shared" si="2"/>
        <v>rokwzgl=8 i lp=21200</v>
      </c>
      <c r="N24" s="13" t="str">
        <f t="shared" si="3"/>
        <v>rokwzgl=9 i lp=21200</v>
      </c>
      <c r="O24" s="13" t="str">
        <f t="shared" si="3"/>
        <v>rokwzgl=10 i lp=21200</v>
      </c>
      <c r="P24" s="13" t="str">
        <f t="shared" si="3"/>
        <v>rokwzgl=11 i lp=21200</v>
      </c>
      <c r="Q24" s="13" t="str">
        <f t="shared" si="3"/>
        <v>rokwzgl=12 i lp=21200</v>
      </c>
      <c r="R24" s="13" t="str">
        <f t="shared" si="3"/>
        <v>rokwzgl=13 i lp=21200</v>
      </c>
      <c r="S24" s="13" t="str">
        <f t="shared" si="3"/>
        <v>rokwzgl=14 i lp=21200</v>
      </c>
      <c r="T24" s="13" t="str">
        <f t="shared" si="3"/>
        <v>rokwzgl=15 i lp=21200</v>
      </c>
      <c r="U24" s="13" t="str">
        <f t="shared" si="3"/>
        <v>rokwzgl=16 i lp=21200</v>
      </c>
      <c r="V24" s="13" t="str">
        <f t="shared" si="3"/>
        <v>rokwzgl=17 i lp=21200</v>
      </c>
      <c r="W24" s="13" t="str">
        <f t="shared" si="3"/>
        <v>rokwzgl=18 i lp=21200</v>
      </c>
      <c r="X24" s="13" t="str">
        <f t="shared" si="7"/>
        <v>rokwzgl=19 i lp=21200</v>
      </c>
      <c r="Y24" s="13" t="str">
        <f t="shared" si="7"/>
        <v>rokwzgl=20 i lp=21200</v>
      </c>
      <c r="Z24" s="13" t="str">
        <f t="shared" si="7"/>
        <v>rokwzgl=21 i lp=21200</v>
      </c>
      <c r="AA24" s="13" t="str">
        <f t="shared" si="7"/>
        <v>rokwzgl=22 i lp=21200</v>
      </c>
      <c r="AB24" s="13" t="str">
        <f t="shared" si="7"/>
        <v>rokwzgl=23 i lp=21200</v>
      </c>
      <c r="AC24" s="13" t="str">
        <f t="shared" si="7"/>
        <v>rokwzgl=24 i lp=21200</v>
      </c>
      <c r="AD24" s="13" t="str">
        <f t="shared" si="7"/>
        <v>rokwzgl=25 i lp=21200</v>
      </c>
      <c r="AE24" s="13" t="str">
        <f t="shared" si="7"/>
        <v>rokwzgl=26 i lp=21200</v>
      </c>
      <c r="AF24" s="13" t="str">
        <f t="shared" si="7"/>
        <v>rokwzgl=27 i lp=21200</v>
      </c>
      <c r="AG24" s="13" t="str">
        <f t="shared" si="7"/>
        <v>rokwzgl=28 i lp=21200</v>
      </c>
      <c r="AH24" s="13" t="str">
        <f t="shared" si="7"/>
        <v>rokwzgl=29 i lp=21200</v>
      </c>
      <c r="AI24" s="13" t="str">
        <f t="shared" si="7"/>
        <v>rokwzgl=30 i lp=21200</v>
      </c>
      <c r="AJ24" s="13" t="str">
        <f t="shared" si="6"/>
        <v>rokwzgl=31 i lp=21200</v>
      </c>
      <c r="AK24" s="13" t="str">
        <f t="shared" si="6"/>
        <v>rokwzgl=32 i lp=21200</v>
      </c>
      <c r="AL24" s="13" t="str">
        <f t="shared" si="6"/>
        <v>rokwzgl=33 i lp=21200</v>
      </c>
      <c r="AM24" s="13" t="str">
        <f t="shared" si="6"/>
        <v>rokwzgl=34 i lp=21200</v>
      </c>
      <c r="AN24" s="13" t="str">
        <f t="shared" si="5"/>
        <v>rokwzgl=35 i lp=21200</v>
      </c>
      <c r="AO24" s="13" t="str">
        <f t="shared" si="5"/>
        <v>rokwzgl=36 i lp=21200</v>
      </c>
      <c r="AP24" s="13" t="str">
        <f t="shared" si="5"/>
        <v>rokwzgl=37 i lp=21200</v>
      </c>
      <c r="AQ24" s="13" t="str">
        <f t="shared" si="5"/>
        <v>rokwzgl=38 i lp=21200</v>
      </c>
      <c r="AR24" s="13" t="str">
        <f t="shared" si="5"/>
        <v>rokwzgl=39 i lp=21200</v>
      </c>
    </row>
    <row r="25" spans="1:44">
      <c r="A25" s="29">
        <v>21210</v>
      </c>
      <c r="B25" s="12" t="s">
        <v>197</v>
      </c>
      <c r="C25" s="13" t="s">
        <v>124</v>
      </c>
      <c r="D25" s="13" t="str">
        <f t="shared" si="2"/>
        <v>rokwzgl=0 i lp=21210</v>
      </c>
      <c r="E25" s="13" t="str">
        <f t="shared" si="2"/>
        <v>rokwzgl=0 i lp=21210</v>
      </c>
      <c r="F25" s="13" t="str">
        <f t="shared" si="2"/>
        <v>rokwzgl=1 i lp=21210</v>
      </c>
      <c r="G25" s="13" t="str">
        <f t="shared" si="2"/>
        <v>rokwzgl=2 i lp=21210</v>
      </c>
      <c r="H25" s="13" t="str">
        <f t="shared" si="2"/>
        <v>rokwzgl=3 i lp=21210</v>
      </c>
      <c r="I25" s="13" t="str">
        <f t="shared" si="2"/>
        <v>rokwzgl=4 i lp=21210</v>
      </c>
      <c r="J25" s="13" t="str">
        <f t="shared" si="2"/>
        <v>rokwzgl=5 i lp=21210</v>
      </c>
      <c r="K25" s="13" t="str">
        <f t="shared" si="2"/>
        <v>rokwzgl=6 i lp=21210</v>
      </c>
      <c r="L25" s="13" t="str">
        <f t="shared" si="2"/>
        <v>rokwzgl=7 i lp=21210</v>
      </c>
      <c r="M25" s="13" t="str">
        <f t="shared" si="2"/>
        <v>rokwzgl=8 i lp=21210</v>
      </c>
      <c r="N25" s="13" t="str">
        <f t="shared" si="3"/>
        <v>rokwzgl=9 i lp=21210</v>
      </c>
      <c r="O25" s="13" t="str">
        <f t="shared" si="3"/>
        <v>rokwzgl=10 i lp=21210</v>
      </c>
      <c r="P25" s="13" t="str">
        <f t="shared" si="3"/>
        <v>rokwzgl=11 i lp=21210</v>
      </c>
      <c r="Q25" s="13" t="str">
        <f t="shared" si="3"/>
        <v>rokwzgl=12 i lp=21210</v>
      </c>
      <c r="R25" s="13" t="str">
        <f t="shared" si="3"/>
        <v>rokwzgl=13 i lp=21210</v>
      </c>
      <c r="S25" s="13" t="str">
        <f t="shared" si="3"/>
        <v>rokwzgl=14 i lp=21210</v>
      </c>
      <c r="T25" s="13" t="str">
        <f t="shared" si="3"/>
        <v>rokwzgl=15 i lp=21210</v>
      </c>
      <c r="U25" s="13" t="str">
        <f t="shared" si="3"/>
        <v>rokwzgl=16 i lp=21210</v>
      </c>
      <c r="V25" s="13" t="str">
        <f t="shared" si="3"/>
        <v>rokwzgl=17 i lp=21210</v>
      </c>
      <c r="W25" s="13" t="str">
        <f t="shared" si="3"/>
        <v>rokwzgl=18 i lp=21210</v>
      </c>
      <c r="X25" s="13" t="str">
        <f t="shared" si="7"/>
        <v>rokwzgl=19 i lp=21210</v>
      </c>
      <c r="Y25" s="13" t="str">
        <f t="shared" si="7"/>
        <v>rokwzgl=20 i lp=21210</v>
      </c>
      <c r="Z25" s="13" t="str">
        <f t="shared" si="7"/>
        <v>rokwzgl=21 i lp=21210</v>
      </c>
      <c r="AA25" s="13" t="str">
        <f t="shared" si="7"/>
        <v>rokwzgl=22 i lp=21210</v>
      </c>
      <c r="AB25" s="13" t="str">
        <f t="shared" si="7"/>
        <v>rokwzgl=23 i lp=21210</v>
      </c>
      <c r="AC25" s="13" t="str">
        <f t="shared" si="7"/>
        <v>rokwzgl=24 i lp=21210</v>
      </c>
      <c r="AD25" s="13" t="str">
        <f t="shared" si="7"/>
        <v>rokwzgl=25 i lp=21210</v>
      </c>
      <c r="AE25" s="13" t="str">
        <f t="shared" si="7"/>
        <v>rokwzgl=26 i lp=21210</v>
      </c>
      <c r="AF25" s="13" t="str">
        <f t="shared" si="7"/>
        <v>rokwzgl=27 i lp=21210</v>
      </c>
      <c r="AG25" s="13" t="str">
        <f t="shared" si="7"/>
        <v>rokwzgl=28 i lp=21210</v>
      </c>
      <c r="AH25" s="13" t="str">
        <f t="shared" si="7"/>
        <v>rokwzgl=29 i lp=21210</v>
      </c>
      <c r="AI25" s="13" t="str">
        <f t="shared" si="7"/>
        <v>rokwzgl=30 i lp=21210</v>
      </c>
      <c r="AJ25" s="13" t="str">
        <f t="shared" si="6"/>
        <v>rokwzgl=31 i lp=21210</v>
      </c>
      <c r="AK25" s="13" t="str">
        <f t="shared" si="6"/>
        <v>rokwzgl=32 i lp=21210</v>
      </c>
      <c r="AL25" s="13" t="str">
        <f t="shared" si="6"/>
        <v>rokwzgl=33 i lp=21210</v>
      </c>
      <c r="AM25" s="13" t="str">
        <f t="shared" si="6"/>
        <v>rokwzgl=34 i lp=21210</v>
      </c>
      <c r="AN25" s="13" t="str">
        <f t="shared" si="5"/>
        <v>rokwzgl=35 i lp=21210</v>
      </c>
      <c r="AO25" s="13" t="str">
        <f t="shared" si="5"/>
        <v>rokwzgl=36 i lp=21210</v>
      </c>
      <c r="AP25" s="13" t="str">
        <f t="shared" si="5"/>
        <v>rokwzgl=37 i lp=21210</v>
      </c>
      <c r="AQ25" s="13" t="str">
        <f t="shared" si="5"/>
        <v>rokwzgl=38 i lp=21210</v>
      </c>
      <c r="AR25" s="13" t="str">
        <f t="shared" si="5"/>
        <v>rokwzgl=39 i lp=21210</v>
      </c>
    </row>
    <row r="26" spans="1:44">
      <c r="A26" s="29">
        <v>21300</v>
      </c>
      <c r="B26" s="12" t="s">
        <v>36</v>
      </c>
      <c r="C26" s="13" t="s">
        <v>125</v>
      </c>
      <c r="D26" s="13" t="str">
        <f t="shared" ref="D26:M35" si="8">+"rokwzgl="&amp;D$9&amp;" i lp="&amp;$A26</f>
        <v>rokwzgl=0 i lp=21300</v>
      </c>
      <c r="E26" s="13" t="str">
        <f t="shared" si="8"/>
        <v>rokwzgl=0 i lp=21300</v>
      </c>
      <c r="F26" s="13" t="str">
        <f t="shared" si="8"/>
        <v>rokwzgl=1 i lp=21300</v>
      </c>
      <c r="G26" s="13" t="str">
        <f t="shared" si="8"/>
        <v>rokwzgl=2 i lp=21300</v>
      </c>
      <c r="H26" s="13" t="str">
        <f t="shared" si="8"/>
        <v>rokwzgl=3 i lp=21300</v>
      </c>
      <c r="I26" s="13" t="str">
        <f t="shared" si="8"/>
        <v>rokwzgl=4 i lp=21300</v>
      </c>
      <c r="J26" s="13" t="str">
        <f t="shared" si="8"/>
        <v>rokwzgl=5 i lp=21300</v>
      </c>
      <c r="K26" s="13" t="str">
        <f t="shared" si="8"/>
        <v>rokwzgl=6 i lp=21300</v>
      </c>
      <c r="L26" s="13" t="str">
        <f t="shared" si="8"/>
        <v>rokwzgl=7 i lp=21300</v>
      </c>
      <c r="M26" s="13" t="str">
        <f t="shared" si="8"/>
        <v>rokwzgl=8 i lp=21300</v>
      </c>
      <c r="N26" s="13" t="str">
        <f t="shared" ref="N26:W35" si="9">+"rokwzgl="&amp;N$9&amp;" i lp="&amp;$A26</f>
        <v>rokwzgl=9 i lp=21300</v>
      </c>
      <c r="O26" s="13" t="str">
        <f t="shared" si="9"/>
        <v>rokwzgl=10 i lp=21300</v>
      </c>
      <c r="P26" s="13" t="str">
        <f t="shared" si="9"/>
        <v>rokwzgl=11 i lp=21300</v>
      </c>
      <c r="Q26" s="13" t="str">
        <f t="shared" si="9"/>
        <v>rokwzgl=12 i lp=21300</v>
      </c>
      <c r="R26" s="13" t="str">
        <f t="shared" si="9"/>
        <v>rokwzgl=13 i lp=21300</v>
      </c>
      <c r="S26" s="13" t="str">
        <f t="shared" si="9"/>
        <v>rokwzgl=14 i lp=21300</v>
      </c>
      <c r="T26" s="13" t="str">
        <f t="shared" si="9"/>
        <v>rokwzgl=15 i lp=21300</v>
      </c>
      <c r="U26" s="13" t="str">
        <f t="shared" si="9"/>
        <v>rokwzgl=16 i lp=21300</v>
      </c>
      <c r="V26" s="13" t="str">
        <f t="shared" si="9"/>
        <v>rokwzgl=17 i lp=21300</v>
      </c>
      <c r="W26" s="13" t="str">
        <f t="shared" si="9"/>
        <v>rokwzgl=18 i lp=21300</v>
      </c>
      <c r="X26" s="13" t="str">
        <f t="shared" si="7"/>
        <v>rokwzgl=19 i lp=21300</v>
      </c>
      <c r="Y26" s="13" t="str">
        <f t="shared" si="7"/>
        <v>rokwzgl=20 i lp=21300</v>
      </c>
      <c r="Z26" s="13" t="str">
        <f t="shared" si="7"/>
        <v>rokwzgl=21 i lp=21300</v>
      </c>
      <c r="AA26" s="13" t="str">
        <f t="shared" si="7"/>
        <v>rokwzgl=22 i lp=21300</v>
      </c>
      <c r="AB26" s="13" t="str">
        <f t="shared" si="7"/>
        <v>rokwzgl=23 i lp=21300</v>
      </c>
      <c r="AC26" s="13" t="str">
        <f t="shared" si="7"/>
        <v>rokwzgl=24 i lp=21300</v>
      </c>
      <c r="AD26" s="13" t="str">
        <f t="shared" si="7"/>
        <v>rokwzgl=25 i lp=21300</v>
      </c>
      <c r="AE26" s="13" t="str">
        <f t="shared" si="7"/>
        <v>rokwzgl=26 i lp=21300</v>
      </c>
      <c r="AF26" s="13" t="str">
        <f t="shared" si="7"/>
        <v>rokwzgl=27 i lp=21300</v>
      </c>
      <c r="AG26" s="13" t="str">
        <f t="shared" si="7"/>
        <v>rokwzgl=28 i lp=21300</v>
      </c>
      <c r="AH26" s="13" t="str">
        <f t="shared" si="7"/>
        <v>rokwzgl=29 i lp=21300</v>
      </c>
      <c r="AI26" s="13" t="str">
        <f t="shared" si="7"/>
        <v>rokwzgl=30 i lp=21300</v>
      </c>
      <c r="AJ26" s="13" t="str">
        <f t="shared" si="6"/>
        <v>rokwzgl=31 i lp=21300</v>
      </c>
      <c r="AK26" s="13" t="str">
        <f t="shared" si="6"/>
        <v>rokwzgl=32 i lp=21300</v>
      </c>
      <c r="AL26" s="13" t="str">
        <f t="shared" si="6"/>
        <v>rokwzgl=33 i lp=21300</v>
      </c>
      <c r="AM26" s="13" t="str">
        <f t="shared" si="6"/>
        <v>rokwzgl=34 i lp=21300</v>
      </c>
      <c r="AN26" s="13" t="str">
        <f t="shared" ref="AN26:AR77" si="10">+"rokwzgl="&amp;AN$9&amp;" i lp="&amp;$A26</f>
        <v>rokwzgl=35 i lp=21300</v>
      </c>
      <c r="AO26" s="13" t="str">
        <f t="shared" si="10"/>
        <v>rokwzgl=36 i lp=21300</v>
      </c>
      <c r="AP26" s="13" t="str">
        <f t="shared" si="10"/>
        <v>rokwzgl=37 i lp=21300</v>
      </c>
      <c r="AQ26" s="13" t="str">
        <f t="shared" si="10"/>
        <v>rokwzgl=38 i lp=21300</v>
      </c>
      <c r="AR26" s="13" t="str">
        <f t="shared" si="10"/>
        <v>rokwzgl=39 i lp=21300</v>
      </c>
    </row>
    <row r="27" spans="1:44">
      <c r="A27" s="29">
        <v>21310</v>
      </c>
      <c r="B27" s="12" t="s">
        <v>37</v>
      </c>
      <c r="C27" s="13" t="s">
        <v>126</v>
      </c>
      <c r="D27" s="13" t="str">
        <f t="shared" si="8"/>
        <v>rokwzgl=0 i lp=21310</v>
      </c>
      <c r="E27" s="13" t="str">
        <f t="shared" si="8"/>
        <v>rokwzgl=0 i lp=21310</v>
      </c>
      <c r="F27" s="13" t="str">
        <f t="shared" si="8"/>
        <v>rokwzgl=1 i lp=21310</v>
      </c>
      <c r="G27" s="13" t="str">
        <f t="shared" si="8"/>
        <v>rokwzgl=2 i lp=21310</v>
      </c>
      <c r="H27" s="13" t="str">
        <f t="shared" si="8"/>
        <v>rokwzgl=3 i lp=21310</v>
      </c>
      <c r="I27" s="13" t="str">
        <f t="shared" si="8"/>
        <v>rokwzgl=4 i lp=21310</v>
      </c>
      <c r="J27" s="13" t="str">
        <f t="shared" si="8"/>
        <v>rokwzgl=5 i lp=21310</v>
      </c>
      <c r="K27" s="13" t="str">
        <f t="shared" si="8"/>
        <v>rokwzgl=6 i lp=21310</v>
      </c>
      <c r="L27" s="13" t="str">
        <f t="shared" si="8"/>
        <v>rokwzgl=7 i lp=21310</v>
      </c>
      <c r="M27" s="13" t="str">
        <f t="shared" si="8"/>
        <v>rokwzgl=8 i lp=21310</v>
      </c>
      <c r="N27" s="13" t="str">
        <f t="shared" si="9"/>
        <v>rokwzgl=9 i lp=21310</v>
      </c>
      <c r="O27" s="13" t="str">
        <f t="shared" si="9"/>
        <v>rokwzgl=10 i lp=21310</v>
      </c>
      <c r="P27" s="13" t="str">
        <f t="shared" si="9"/>
        <v>rokwzgl=11 i lp=21310</v>
      </c>
      <c r="Q27" s="13" t="str">
        <f t="shared" si="9"/>
        <v>rokwzgl=12 i lp=21310</v>
      </c>
      <c r="R27" s="13" t="str">
        <f t="shared" si="9"/>
        <v>rokwzgl=13 i lp=21310</v>
      </c>
      <c r="S27" s="13" t="str">
        <f t="shared" si="9"/>
        <v>rokwzgl=14 i lp=21310</v>
      </c>
      <c r="T27" s="13" t="str">
        <f t="shared" si="9"/>
        <v>rokwzgl=15 i lp=21310</v>
      </c>
      <c r="U27" s="13" t="str">
        <f t="shared" si="9"/>
        <v>rokwzgl=16 i lp=21310</v>
      </c>
      <c r="V27" s="13" t="str">
        <f t="shared" si="9"/>
        <v>rokwzgl=17 i lp=21310</v>
      </c>
      <c r="W27" s="13" t="str">
        <f t="shared" si="9"/>
        <v>rokwzgl=18 i lp=21310</v>
      </c>
      <c r="X27" s="13" t="str">
        <f t="shared" si="7"/>
        <v>rokwzgl=19 i lp=21310</v>
      </c>
      <c r="Y27" s="13" t="str">
        <f t="shared" si="7"/>
        <v>rokwzgl=20 i lp=21310</v>
      </c>
      <c r="Z27" s="13" t="str">
        <f t="shared" si="7"/>
        <v>rokwzgl=21 i lp=21310</v>
      </c>
      <c r="AA27" s="13" t="str">
        <f t="shared" si="7"/>
        <v>rokwzgl=22 i lp=21310</v>
      </c>
      <c r="AB27" s="13" t="str">
        <f t="shared" si="7"/>
        <v>rokwzgl=23 i lp=21310</v>
      </c>
      <c r="AC27" s="13" t="str">
        <f t="shared" si="7"/>
        <v>rokwzgl=24 i lp=21310</v>
      </c>
      <c r="AD27" s="13" t="str">
        <f t="shared" si="7"/>
        <v>rokwzgl=25 i lp=21310</v>
      </c>
      <c r="AE27" s="13" t="str">
        <f t="shared" si="7"/>
        <v>rokwzgl=26 i lp=21310</v>
      </c>
      <c r="AF27" s="13" t="str">
        <f t="shared" si="7"/>
        <v>rokwzgl=27 i lp=21310</v>
      </c>
      <c r="AG27" s="13" t="str">
        <f t="shared" si="7"/>
        <v>rokwzgl=28 i lp=21310</v>
      </c>
      <c r="AH27" s="13" t="str">
        <f t="shared" si="7"/>
        <v>rokwzgl=29 i lp=21310</v>
      </c>
      <c r="AI27" s="13" t="str">
        <f t="shared" si="7"/>
        <v>rokwzgl=30 i lp=21310</v>
      </c>
      <c r="AJ27" s="13" t="str">
        <f t="shared" si="6"/>
        <v>rokwzgl=31 i lp=21310</v>
      </c>
      <c r="AK27" s="13" t="str">
        <f t="shared" si="6"/>
        <v>rokwzgl=32 i lp=21310</v>
      </c>
      <c r="AL27" s="13" t="str">
        <f t="shared" si="6"/>
        <v>rokwzgl=33 i lp=21310</v>
      </c>
      <c r="AM27" s="13" t="str">
        <f t="shared" si="6"/>
        <v>rokwzgl=34 i lp=21310</v>
      </c>
      <c r="AN27" s="13" t="str">
        <f t="shared" si="10"/>
        <v>rokwzgl=35 i lp=21310</v>
      </c>
      <c r="AO27" s="13" t="str">
        <f t="shared" si="10"/>
        <v>rokwzgl=36 i lp=21310</v>
      </c>
      <c r="AP27" s="13" t="str">
        <f t="shared" si="10"/>
        <v>rokwzgl=37 i lp=21310</v>
      </c>
      <c r="AQ27" s="13" t="str">
        <f t="shared" si="10"/>
        <v>rokwzgl=38 i lp=21310</v>
      </c>
      <c r="AR27" s="13" t="str">
        <f t="shared" si="10"/>
        <v>rokwzgl=39 i lp=21310</v>
      </c>
    </row>
    <row r="28" spans="1:44">
      <c r="A28" s="29">
        <v>21320</v>
      </c>
      <c r="B28" s="12" t="s">
        <v>198</v>
      </c>
      <c r="C28" s="13" t="s">
        <v>127</v>
      </c>
      <c r="D28" s="13" t="str">
        <f t="shared" si="8"/>
        <v>rokwzgl=0 i lp=21320</v>
      </c>
      <c r="E28" s="13" t="str">
        <f t="shared" si="8"/>
        <v>rokwzgl=0 i lp=21320</v>
      </c>
      <c r="F28" s="13" t="str">
        <f t="shared" si="8"/>
        <v>rokwzgl=1 i lp=21320</v>
      </c>
      <c r="G28" s="13" t="str">
        <f t="shared" si="8"/>
        <v>rokwzgl=2 i lp=21320</v>
      </c>
      <c r="H28" s="13" t="str">
        <f t="shared" si="8"/>
        <v>rokwzgl=3 i lp=21320</v>
      </c>
      <c r="I28" s="13" t="str">
        <f t="shared" si="8"/>
        <v>rokwzgl=4 i lp=21320</v>
      </c>
      <c r="J28" s="13" t="str">
        <f t="shared" si="8"/>
        <v>rokwzgl=5 i lp=21320</v>
      </c>
      <c r="K28" s="13" t="str">
        <f t="shared" si="8"/>
        <v>rokwzgl=6 i lp=21320</v>
      </c>
      <c r="L28" s="13" t="str">
        <f t="shared" si="8"/>
        <v>rokwzgl=7 i lp=21320</v>
      </c>
      <c r="M28" s="13" t="str">
        <f t="shared" si="8"/>
        <v>rokwzgl=8 i lp=21320</v>
      </c>
      <c r="N28" s="13" t="str">
        <f t="shared" si="9"/>
        <v>rokwzgl=9 i lp=21320</v>
      </c>
      <c r="O28" s="13" t="str">
        <f t="shared" si="9"/>
        <v>rokwzgl=10 i lp=21320</v>
      </c>
      <c r="P28" s="13" t="str">
        <f t="shared" si="9"/>
        <v>rokwzgl=11 i lp=21320</v>
      </c>
      <c r="Q28" s="13" t="str">
        <f t="shared" si="9"/>
        <v>rokwzgl=12 i lp=21320</v>
      </c>
      <c r="R28" s="13" t="str">
        <f t="shared" si="9"/>
        <v>rokwzgl=13 i lp=21320</v>
      </c>
      <c r="S28" s="13" t="str">
        <f t="shared" si="9"/>
        <v>rokwzgl=14 i lp=21320</v>
      </c>
      <c r="T28" s="13" t="str">
        <f t="shared" si="9"/>
        <v>rokwzgl=15 i lp=21320</v>
      </c>
      <c r="U28" s="13" t="str">
        <f t="shared" si="9"/>
        <v>rokwzgl=16 i lp=21320</v>
      </c>
      <c r="V28" s="13" t="str">
        <f t="shared" si="9"/>
        <v>rokwzgl=17 i lp=21320</v>
      </c>
      <c r="W28" s="13" t="str">
        <f t="shared" si="9"/>
        <v>rokwzgl=18 i lp=21320</v>
      </c>
      <c r="X28" s="13" t="str">
        <f t="shared" si="7"/>
        <v>rokwzgl=19 i lp=21320</v>
      </c>
      <c r="Y28" s="13" t="str">
        <f t="shared" si="7"/>
        <v>rokwzgl=20 i lp=21320</v>
      </c>
      <c r="Z28" s="13" t="str">
        <f t="shared" si="7"/>
        <v>rokwzgl=21 i lp=21320</v>
      </c>
      <c r="AA28" s="13" t="str">
        <f t="shared" si="7"/>
        <v>rokwzgl=22 i lp=21320</v>
      </c>
      <c r="AB28" s="13" t="str">
        <f t="shared" si="7"/>
        <v>rokwzgl=23 i lp=21320</v>
      </c>
      <c r="AC28" s="13" t="str">
        <f t="shared" si="7"/>
        <v>rokwzgl=24 i lp=21320</v>
      </c>
      <c r="AD28" s="13" t="str">
        <f t="shared" si="7"/>
        <v>rokwzgl=25 i lp=21320</v>
      </c>
      <c r="AE28" s="13" t="str">
        <f t="shared" si="7"/>
        <v>rokwzgl=26 i lp=21320</v>
      </c>
      <c r="AF28" s="13" t="str">
        <f t="shared" si="7"/>
        <v>rokwzgl=27 i lp=21320</v>
      </c>
      <c r="AG28" s="13" t="str">
        <f t="shared" si="7"/>
        <v>rokwzgl=28 i lp=21320</v>
      </c>
      <c r="AH28" s="13" t="str">
        <f t="shared" si="7"/>
        <v>rokwzgl=29 i lp=21320</v>
      </c>
      <c r="AI28" s="13" t="str">
        <f t="shared" si="7"/>
        <v>rokwzgl=30 i lp=21320</v>
      </c>
      <c r="AJ28" s="13" t="str">
        <f t="shared" si="6"/>
        <v>rokwzgl=31 i lp=21320</v>
      </c>
      <c r="AK28" s="13" t="str">
        <f t="shared" si="6"/>
        <v>rokwzgl=32 i lp=21320</v>
      </c>
      <c r="AL28" s="13" t="str">
        <f t="shared" si="6"/>
        <v>rokwzgl=33 i lp=21320</v>
      </c>
      <c r="AM28" s="13" t="str">
        <f t="shared" si="6"/>
        <v>rokwzgl=34 i lp=21320</v>
      </c>
      <c r="AN28" s="13" t="str">
        <f t="shared" si="10"/>
        <v>rokwzgl=35 i lp=21320</v>
      </c>
      <c r="AO28" s="13" t="str">
        <f t="shared" si="10"/>
        <v>rokwzgl=36 i lp=21320</v>
      </c>
      <c r="AP28" s="13" t="str">
        <f t="shared" si="10"/>
        <v>rokwzgl=37 i lp=21320</v>
      </c>
      <c r="AQ28" s="13" t="str">
        <f t="shared" si="10"/>
        <v>rokwzgl=38 i lp=21320</v>
      </c>
      <c r="AR28" s="13" t="str">
        <f t="shared" si="10"/>
        <v>rokwzgl=39 i lp=21320</v>
      </c>
    </row>
    <row r="29" spans="1:44">
      <c r="A29" s="29">
        <v>21330</v>
      </c>
      <c r="B29" s="12" t="s">
        <v>320</v>
      </c>
      <c r="D29" s="13" t="str">
        <f t="shared" si="8"/>
        <v>rokwzgl=0 i lp=21330</v>
      </c>
      <c r="E29" s="13" t="str">
        <f t="shared" si="8"/>
        <v>rokwzgl=0 i lp=21330</v>
      </c>
      <c r="F29" s="13" t="str">
        <f t="shared" si="8"/>
        <v>rokwzgl=1 i lp=21330</v>
      </c>
      <c r="G29" s="13" t="str">
        <f t="shared" si="8"/>
        <v>rokwzgl=2 i lp=21330</v>
      </c>
      <c r="H29" s="13" t="str">
        <f t="shared" si="8"/>
        <v>rokwzgl=3 i lp=21330</v>
      </c>
      <c r="I29" s="13" t="str">
        <f t="shared" si="8"/>
        <v>rokwzgl=4 i lp=21330</v>
      </c>
      <c r="J29" s="13" t="str">
        <f t="shared" si="8"/>
        <v>rokwzgl=5 i lp=21330</v>
      </c>
      <c r="K29" s="13" t="str">
        <f t="shared" si="8"/>
        <v>rokwzgl=6 i lp=21330</v>
      </c>
      <c r="L29" s="13" t="str">
        <f t="shared" si="8"/>
        <v>rokwzgl=7 i lp=21330</v>
      </c>
      <c r="M29" s="13" t="str">
        <f t="shared" si="8"/>
        <v>rokwzgl=8 i lp=21330</v>
      </c>
      <c r="N29" s="13" t="str">
        <f t="shared" si="9"/>
        <v>rokwzgl=9 i lp=21330</v>
      </c>
      <c r="O29" s="13" t="str">
        <f t="shared" si="9"/>
        <v>rokwzgl=10 i lp=21330</v>
      </c>
      <c r="P29" s="13" t="str">
        <f t="shared" si="9"/>
        <v>rokwzgl=11 i lp=21330</v>
      </c>
      <c r="Q29" s="13" t="str">
        <f t="shared" si="9"/>
        <v>rokwzgl=12 i lp=21330</v>
      </c>
      <c r="R29" s="13" t="str">
        <f t="shared" si="9"/>
        <v>rokwzgl=13 i lp=21330</v>
      </c>
      <c r="S29" s="13" t="str">
        <f t="shared" si="9"/>
        <v>rokwzgl=14 i lp=21330</v>
      </c>
      <c r="T29" s="13" t="str">
        <f t="shared" si="9"/>
        <v>rokwzgl=15 i lp=21330</v>
      </c>
      <c r="U29" s="13" t="str">
        <f t="shared" si="9"/>
        <v>rokwzgl=16 i lp=21330</v>
      </c>
      <c r="V29" s="13" t="str">
        <f t="shared" si="9"/>
        <v>rokwzgl=17 i lp=21330</v>
      </c>
      <c r="W29" s="13" t="str">
        <f t="shared" si="9"/>
        <v>rokwzgl=18 i lp=21330</v>
      </c>
      <c r="X29" s="13" t="str">
        <f t="shared" si="7"/>
        <v>rokwzgl=19 i lp=21330</v>
      </c>
      <c r="Y29" s="13" t="str">
        <f t="shared" si="7"/>
        <v>rokwzgl=20 i lp=21330</v>
      </c>
      <c r="Z29" s="13" t="str">
        <f t="shared" si="7"/>
        <v>rokwzgl=21 i lp=21330</v>
      </c>
      <c r="AA29" s="13" t="str">
        <f t="shared" si="7"/>
        <v>rokwzgl=22 i lp=21330</v>
      </c>
      <c r="AB29" s="13" t="str">
        <f t="shared" si="7"/>
        <v>rokwzgl=23 i lp=21330</v>
      </c>
      <c r="AC29" s="13" t="str">
        <f t="shared" si="7"/>
        <v>rokwzgl=24 i lp=21330</v>
      </c>
      <c r="AD29" s="13" t="str">
        <f t="shared" si="7"/>
        <v>rokwzgl=25 i lp=21330</v>
      </c>
      <c r="AE29" s="13" t="str">
        <f t="shared" si="7"/>
        <v>rokwzgl=26 i lp=21330</v>
      </c>
      <c r="AF29" s="13" t="str">
        <f t="shared" si="7"/>
        <v>rokwzgl=27 i lp=21330</v>
      </c>
      <c r="AG29" s="13" t="str">
        <f t="shared" si="7"/>
        <v>rokwzgl=28 i lp=21330</v>
      </c>
      <c r="AH29" s="13" t="str">
        <f t="shared" si="7"/>
        <v>rokwzgl=29 i lp=21330</v>
      </c>
      <c r="AI29" s="13" t="str">
        <f t="shared" si="7"/>
        <v>rokwzgl=30 i lp=21330</v>
      </c>
      <c r="AJ29" s="13" t="str">
        <f t="shared" si="6"/>
        <v>rokwzgl=31 i lp=21330</v>
      </c>
      <c r="AK29" s="13" t="str">
        <f t="shared" si="6"/>
        <v>rokwzgl=32 i lp=21330</v>
      </c>
      <c r="AL29" s="13" t="str">
        <f t="shared" si="6"/>
        <v>rokwzgl=33 i lp=21330</v>
      </c>
      <c r="AM29" s="13" t="str">
        <f t="shared" si="6"/>
        <v>rokwzgl=34 i lp=21330</v>
      </c>
      <c r="AN29" s="13" t="str">
        <f t="shared" si="10"/>
        <v>rokwzgl=35 i lp=21330</v>
      </c>
      <c r="AO29" s="13" t="str">
        <f t="shared" si="10"/>
        <v>rokwzgl=36 i lp=21330</v>
      </c>
      <c r="AP29" s="13" t="str">
        <f t="shared" si="10"/>
        <v>rokwzgl=37 i lp=21330</v>
      </c>
      <c r="AQ29" s="13" t="str">
        <f t="shared" si="10"/>
        <v>rokwzgl=38 i lp=21330</v>
      </c>
      <c r="AR29" s="13" t="str">
        <f t="shared" si="10"/>
        <v>rokwzgl=39 i lp=21330</v>
      </c>
    </row>
    <row r="30" spans="1:44">
      <c r="A30" s="29">
        <v>22000</v>
      </c>
      <c r="B30" s="12" t="s">
        <v>49</v>
      </c>
      <c r="C30" s="13" t="s">
        <v>128</v>
      </c>
      <c r="D30" s="13" t="str">
        <f t="shared" si="8"/>
        <v>rokwzgl=0 i lp=22000</v>
      </c>
      <c r="E30" s="13" t="str">
        <f t="shared" si="8"/>
        <v>rokwzgl=0 i lp=22000</v>
      </c>
      <c r="F30" s="13" t="str">
        <f t="shared" si="8"/>
        <v>rokwzgl=1 i lp=22000</v>
      </c>
      <c r="G30" s="13" t="str">
        <f t="shared" si="8"/>
        <v>rokwzgl=2 i lp=22000</v>
      </c>
      <c r="H30" s="13" t="str">
        <f t="shared" si="8"/>
        <v>rokwzgl=3 i lp=22000</v>
      </c>
      <c r="I30" s="13" t="str">
        <f t="shared" si="8"/>
        <v>rokwzgl=4 i lp=22000</v>
      </c>
      <c r="J30" s="13" t="str">
        <f t="shared" si="8"/>
        <v>rokwzgl=5 i lp=22000</v>
      </c>
      <c r="K30" s="13" t="str">
        <f t="shared" si="8"/>
        <v>rokwzgl=6 i lp=22000</v>
      </c>
      <c r="L30" s="13" t="str">
        <f t="shared" si="8"/>
        <v>rokwzgl=7 i lp=22000</v>
      </c>
      <c r="M30" s="13" t="str">
        <f t="shared" si="8"/>
        <v>rokwzgl=8 i lp=22000</v>
      </c>
      <c r="N30" s="13" t="str">
        <f t="shared" si="9"/>
        <v>rokwzgl=9 i lp=22000</v>
      </c>
      <c r="O30" s="13" t="str">
        <f t="shared" si="9"/>
        <v>rokwzgl=10 i lp=22000</v>
      </c>
      <c r="P30" s="13" t="str">
        <f t="shared" si="9"/>
        <v>rokwzgl=11 i lp=22000</v>
      </c>
      <c r="Q30" s="13" t="str">
        <f t="shared" si="9"/>
        <v>rokwzgl=12 i lp=22000</v>
      </c>
      <c r="R30" s="13" t="str">
        <f t="shared" si="9"/>
        <v>rokwzgl=13 i lp=22000</v>
      </c>
      <c r="S30" s="13" t="str">
        <f t="shared" si="9"/>
        <v>rokwzgl=14 i lp=22000</v>
      </c>
      <c r="T30" s="13" t="str">
        <f t="shared" si="9"/>
        <v>rokwzgl=15 i lp=22000</v>
      </c>
      <c r="U30" s="13" t="str">
        <f t="shared" si="9"/>
        <v>rokwzgl=16 i lp=22000</v>
      </c>
      <c r="V30" s="13" t="str">
        <f t="shared" si="9"/>
        <v>rokwzgl=17 i lp=22000</v>
      </c>
      <c r="W30" s="13" t="str">
        <f t="shared" si="9"/>
        <v>rokwzgl=18 i lp=22000</v>
      </c>
      <c r="X30" s="13" t="str">
        <f t="shared" ref="X30:AI39" si="11">+"rokwzgl="&amp;X$9&amp;" i lp="&amp;$A30</f>
        <v>rokwzgl=19 i lp=22000</v>
      </c>
      <c r="Y30" s="13" t="str">
        <f t="shared" si="11"/>
        <v>rokwzgl=20 i lp=22000</v>
      </c>
      <c r="Z30" s="13" t="str">
        <f t="shared" si="11"/>
        <v>rokwzgl=21 i lp=22000</v>
      </c>
      <c r="AA30" s="13" t="str">
        <f t="shared" si="11"/>
        <v>rokwzgl=22 i lp=22000</v>
      </c>
      <c r="AB30" s="13" t="str">
        <f t="shared" si="11"/>
        <v>rokwzgl=23 i lp=22000</v>
      </c>
      <c r="AC30" s="13" t="str">
        <f t="shared" si="11"/>
        <v>rokwzgl=24 i lp=22000</v>
      </c>
      <c r="AD30" s="13" t="str">
        <f t="shared" si="11"/>
        <v>rokwzgl=25 i lp=22000</v>
      </c>
      <c r="AE30" s="13" t="str">
        <f t="shared" si="11"/>
        <v>rokwzgl=26 i lp=22000</v>
      </c>
      <c r="AF30" s="13" t="str">
        <f t="shared" si="11"/>
        <v>rokwzgl=27 i lp=22000</v>
      </c>
      <c r="AG30" s="13" t="str">
        <f t="shared" si="11"/>
        <v>rokwzgl=28 i lp=22000</v>
      </c>
      <c r="AH30" s="13" t="str">
        <f t="shared" si="11"/>
        <v>rokwzgl=29 i lp=22000</v>
      </c>
      <c r="AI30" s="13" t="str">
        <f t="shared" si="11"/>
        <v>rokwzgl=30 i lp=22000</v>
      </c>
      <c r="AJ30" s="13" t="str">
        <f t="shared" si="6"/>
        <v>rokwzgl=31 i lp=22000</v>
      </c>
      <c r="AK30" s="13" t="str">
        <f t="shared" si="6"/>
        <v>rokwzgl=32 i lp=22000</v>
      </c>
      <c r="AL30" s="13" t="str">
        <f t="shared" si="6"/>
        <v>rokwzgl=33 i lp=22000</v>
      </c>
      <c r="AM30" s="13" t="str">
        <f t="shared" si="6"/>
        <v>rokwzgl=34 i lp=22000</v>
      </c>
      <c r="AN30" s="13" t="str">
        <f t="shared" si="10"/>
        <v>rokwzgl=35 i lp=22000</v>
      </c>
      <c r="AO30" s="13" t="str">
        <f t="shared" si="10"/>
        <v>rokwzgl=36 i lp=22000</v>
      </c>
      <c r="AP30" s="13" t="str">
        <f t="shared" si="10"/>
        <v>rokwzgl=37 i lp=22000</v>
      </c>
      <c r="AQ30" s="13" t="str">
        <f t="shared" si="10"/>
        <v>rokwzgl=38 i lp=22000</v>
      </c>
      <c r="AR30" s="13" t="str">
        <f t="shared" si="10"/>
        <v>rokwzgl=39 i lp=22000</v>
      </c>
    </row>
    <row r="31" spans="1:44">
      <c r="A31" s="29">
        <v>22100</v>
      </c>
      <c r="B31" s="12" t="s">
        <v>199</v>
      </c>
      <c r="C31" s="13" t="s">
        <v>129</v>
      </c>
      <c r="D31" s="13" t="str">
        <f t="shared" si="8"/>
        <v>rokwzgl=0 i lp=22100</v>
      </c>
      <c r="E31" s="13" t="str">
        <f t="shared" si="8"/>
        <v>rokwzgl=0 i lp=22100</v>
      </c>
      <c r="F31" s="13" t="str">
        <f t="shared" si="8"/>
        <v>rokwzgl=1 i lp=22100</v>
      </c>
      <c r="G31" s="13" t="str">
        <f t="shared" si="8"/>
        <v>rokwzgl=2 i lp=22100</v>
      </c>
      <c r="H31" s="13" t="str">
        <f t="shared" si="8"/>
        <v>rokwzgl=3 i lp=22100</v>
      </c>
      <c r="I31" s="13" t="str">
        <f t="shared" si="8"/>
        <v>rokwzgl=4 i lp=22100</v>
      </c>
      <c r="J31" s="13" t="str">
        <f t="shared" si="8"/>
        <v>rokwzgl=5 i lp=22100</v>
      </c>
      <c r="K31" s="13" t="str">
        <f t="shared" si="8"/>
        <v>rokwzgl=6 i lp=22100</v>
      </c>
      <c r="L31" s="13" t="str">
        <f t="shared" si="8"/>
        <v>rokwzgl=7 i lp=22100</v>
      </c>
      <c r="M31" s="13" t="str">
        <f t="shared" si="8"/>
        <v>rokwzgl=8 i lp=22100</v>
      </c>
      <c r="N31" s="13" t="str">
        <f t="shared" si="9"/>
        <v>rokwzgl=9 i lp=22100</v>
      </c>
      <c r="O31" s="13" t="str">
        <f t="shared" si="9"/>
        <v>rokwzgl=10 i lp=22100</v>
      </c>
      <c r="P31" s="13" t="str">
        <f t="shared" si="9"/>
        <v>rokwzgl=11 i lp=22100</v>
      </c>
      <c r="Q31" s="13" t="str">
        <f t="shared" si="9"/>
        <v>rokwzgl=12 i lp=22100</v>
      </c>
      <c r="R31" s="13" t="str">
        <f t="shared" si="9"/>
        <v>rokwzgl=13 i lp=22100</v>
      </c>
      <c r="S31" s="13" t="str">
        <f t="shared" si="9"/>
        <v>rokwzgl=14 i lp=22100</v>
      </c>
      <c r="T31" s="13" t="str">
        <f t="shared" si="9"/>
        <v>rokwzgl=15 i lp=22100</v>
      </c>
      <c r="U31" s="13" t="str">
        <f t="shared" si="9"/>
        <v>rokwzgl=16 i lp=22100</v>
      </c>
      <c r="V31" s="13" t="str">
        <f t="shared" si="9"/>
        <v>rokwzgl=17 i lp=22100</v>
      </c>
      <c r="W31" s="13" t="str">
        <f t="shared" si="9"/>
        <v>rokwzgl=18 i lp=22100</v>
      </c>
      <c r="X31" s="13" t="str">
        <f t="shared" si="11"/>
        <v>rokwzgl=19 i lp=22100</v>
      </c>
      <c r="Y31" s="13" t="str">
        <f t="shared" si="11"/>
        <v>rokwzgl=20 i lp=22100</v>
      </c>
      <c r="Z31" s="13" t="str">
        <f t="shared" si="11"/>
        <v>rokwzgl=21 i lp=22100</v>
      </c>
      <c r="AA31" s="13" t="str">
        <f t="shared" si="11"/>
        <v>rokwzgl=22 i lp=22100</v>
      </c>
      <c r="AB31" s="13" t="str">
        <f t="shared" si="11"/>
        <v>rokwzgl=23 i lp=22100</v>
      </c>
      <c r="AC31" s="13" t="str">
        <f t="shared" si="11"/>
        <v>rokwzgl=24 i lp=22100</v>
      </c>
      <c r="AD31" s="13" t="str">
        <f t="shared" si="11"/>
        <v>rokwzgl=25 i lp=22100</v>
      </c>
      <c r="AE31" s="13" t="str">
        <f t="shared" si="11"/>
        <v>rokwzgl=26 i lp=22100</v>
      </c>
      <c r="AF31" s="13" t="str">
        <f t="shared" si="11"/>
        <v>rokwzgl=27 i lp=22100</v>
      </c>
      <c r="AG31" s="13" t="str">
        <f t="shared" si="11"/>
        <v>rokwzgl=28 i lp=22100</v>
      </c>
      <c r="AH31" s="13" t="str">
        <f t="shared" si="11"/>
        <v>rokwzgl=29 i lp=22100</v>
      </c>
      <c r="AI31" s="13" t="str">
        <f t="shared" si="11"/>
        <v>rokwzgl=30 i lp=22100</v>
      </c>
      <c r="AJ31" s="13" t="str">
        <f t="shared" si="6"/>
        <v>rokwzgl=31 i lp=22100</v>
      </c>
      <c r="AK31" s="13" t="str">
        <f t="shared" si="6"/>
        <v>rokwzgl=32 i lp=22100</v>
      </c>
      <c r="AL31" s="13" t="str">
        <f t="shared" si="6"/>
        <v>rokwzgl=33 i lp=22100</v>
      </c>
      <c r="AM31" s="13" t="str">
        <f t="shared" si="6"/>
        <v>rokwzgl=34 i lp=22100</v>
      </c>
      <c r="AN31" s="13" t="str">
        <f t="shared" si="10"/>
        <v>rokwzgl=35 i lp=22100</v>
      </c>
      <c r="AO31" s="13" t="str">
        <f t="shared" si="10"/>
        <v>rokwzgl=36 i lp=22100</v>
      </c>
      <c r="AP31" s="13" t="str">
        <f t="shared" si="10"/>
        <v>rokwzgl=37 i lp=22100</v>
      </c>
      <c r="AQ31" s="13" t="str">
        <f t="shared" si="10"/>
        <v>rokwzgl=38 i lp=22100</v>
      </c>
      <c r="AR31" s="13" t="str">
        <f t="shared" si="10"/>
        <v>rokwzgl=39 i lp=22100</v>
      </c>
    </row>
    <row r="32" spans="1:44">
      <c r="A32" s="29">
        <v>22110</v>
      </c>
      <c r="B32" s="12" t="s">
        <v>200</v>
      </c>
      <c r="C32" s="13" t="s">
        <v>130</v>
      </c>
      <c r="D32" s="13" t="str">
        <f t="shared" si="8"/>
        <v>rokwzgl=0 i lp=22110</v>
      </c>
      <c r="E32" s="13" t="str">
        <f t="shared" si="8"/>
        <v>rokwzgl=0 i lp=22110</v>
      </c>
      <c r="F32" s="13" t="str">
        <f t="shared" si="8"/>
        <v>rokwzgl=1 i lp=22110</v>
      </c>
      <c r="G32" s="13" t="str">
        <f t="shared" si="8"/>
        <v>rokwzgl=2 i lp=22110</v>
      </c>
      <c r="H32" s="13" t="str">
        <f t="shared" si="8"/>
        <v>rokwzgl=3 i lp=22110</v>
      </c>
      <c r="I32" s="13" t="str">
        <f t="shared" si="8"/>
        <v>rokwzgl=4 i lp=22110</v>
      </c>
      <c r="J32" s="13" t="str">
        <f t="shared" si="8"/>
        <v>rokwzgl=5 i lp=22110</v>
      </c>
      <c r="K32" s="13" t="str">
        <f t="shared" si="8"/>
        <v>rokwzgl=6 i lp=22110</v>
      </c>
      <c r="L32" s="13" t="str">
        <f t="shared" si="8"/>
        <v>rokwzgl=7 i lp=22110</v>
      </c>
      <c r="M32" s="13" t="str">
        <f t="shared" si="8"/>
        <v>rokwzgl=8 i lp=22110</v>
      </c>
      <c r="N32" s="13" t="str">
        <f t="shared" si="9"/>
        <v>rokwzgl=9 i lp=22110</v>
      </c>
      <c r="O32" s="13" t="str">
        <f t="shared" si="9"/>
        <v>rokwzgl=10 i lp=22110</v>
      </c>
      <c r="P32" s="13" t="str">
        <f t="shared" si="9"/>
        <v>rokwzgl=11 i lp=22110</v>
      </c>
      <c r="Q32" s="13" t="str">
        <f t="shared" si="9"/>
        <v>rokwzgl=12 i lp=22110</v>
      </c>
      <c r="R32" s="13" t="str">
        <f t="shared" si="9"/>
        <v>rokwzgl=13 i lp=22110</v>
      </c>
      <c r="S32" s="13" t="str">
        <f t="shared" si="9"/>
        <v>rokwzgl=14 i lp=22110</v>
      </c>
      <c r="T32" s="13" t="str">
        <f t="shared" si="9"/>
        <v>rokwzgl=15 i lp=22110</v>
      </c>
      <c r="U32" s="13" t="str">
        <f t="shared" si="9"/>
        <v>rokwzgl=16 i lp=22110</v>
      </c>
      <c r="V32" s="13" t="str">
        <f t="shared" si="9"/>
        <v>rokwzgl=17 i lp=22110</v>
      </c>
      <c r="W32" s="13" t="str">
        <f t="shared" si="9"/>
        <v>rokwzgl=18 i lp=22110</v>
      </c>
      <c r="X32" s="13" t="str">
        <f t="shared" si="11"/>
        <v>rokwzgl=19 i lp=22110</v>
      </c>
      <c r="Y32" s="13" t="str">
        <f t="shared" si="11"/>
        <v>rokwzgl=20 i lp=22110</v>
      </c>
      <c r="Z32" s="13" t="str">
        <f t="shared" si="11"/>
        <v>rokwzgl=21 i lp=22110</v>
      </c>
      <c r="AA32" s="13" t="str">
        <f t="shared" si="11"/>
        <v>rokwzgl=22 i lp=22110</v>
      </c>
      <c r="AB32" s="13" t="str">
        <f t="shared" si="11"/>
        <v>rokwzgl=23 i lp=22110</v>
      </c>
      <c r="AC32" s="13" t="str">
        <f t="shared" si="11"/>
        <v>rokwzgl=24 i lp=22110</v>
      </c>
      <c r="AD32" s="13" t="str">
        <f t="shared" si="11"/>
        <v>rokwzgl=25 i lp=22110</v>
      </c>
      <c r="AE32" s="13" t="str">
        <f t="shared" si="11"/>
        <v>rokwzgl=26 i lp=22110</v>
      </c>
      <c r="AF32" s="13" t="str">
        <f t="shared" si="11"/>
        <v>rokwzgl=27 i lp=22110</v>
      </c>
      <c r="AG32" s="13" t="str">
        <f t="shared" si="11"/>
        <v>rokwzgl=28 i lp=22110</v>
      </c>
      <c r="AH32" s="13" t="str">
        <f t="shared" si="11"/>
        <v>rokwzgl=29 i lp=22110</v>
      </c>
      <c r="AI32" s="13" t="str">
        <f t="shared" si="11"/>
        <v>rokwzgl=30 i lp=22110</v>
      </c>
      <c r="AJ32" s="13" t="str">
        <f t="shared" si="6"/>
        <v>rokwzgl=31 i lp=22110</v>
      </c>
      <c r="AK32" s="13" t="str">
        <f t="shared" si="6"/>
        <v>rokwzgl=32 i lp=22110</v>
      </c>
      <c r="AL32" s="13" t="str">
        <f t="shared" si="6"/>
        <v>rokwzgl=33 i lp=22110</v>
      </c>
      <c r="AM32" s="13" t="str">
        <f t="shared" si="6"/>
        <v>rokwzgl=34 i lp=22110</v>
      </c>
      <c r="AN32" s="13" t="str">
        <f t="shared" si="10"/>
        <v>rokwzgl=35 i lp=22110</v>
      </c>
      <c r="AO32" s="13" t="str">
        <f t="shared" si="10"/>
        <v>rokwzgl=36 i lp=22110</v>
      </c>
      <c r="AP32" s="13" t="str">
        <f t="shared" si="10"/>
        <v>rokwzgl=37 i lp=22110</v>
      </c>
      <c r="AQ32" s="13" t="str">
        <f t="shared" si="10"/>
        <v>rokwzgl=38 i lp=22110</v>
      </c>
      <c r="AR32" s="13" t="str">
        <f t="shared" si="10"/>
        <v>rokwzgl=39 i lp=22110</v>
      </c>
    </row>
    <row r="33" spans="1:44">
      <c r="A33" s="29">
        <v>30000</v>
      </c>
      <c r="B33" s="12">
        <v>3</v>
      </c>
      <c r="C33" s="13" t="s">
        <v>18</v>
      </c>
      <c r="D33" s="13" t="str">
        <f t="shared" si="8"/>
        <v>rokwzgl=0 i lp=30000</v>
      </c>
      <c r="E33" s="13" t="str">
        <f t="shared" si="8"/>
        <v>rokwzgl=0 i lp=30000</v>
      </c>
      <c r="F33" s="13" t="str">
        <f t="shared" si="8"/>
        <v>rokwzgl=1 i lp=30000</v>
      </c>
      <c r="G33" s="13" t="str">
        <f t="shared" si="8"/>
        <v>rokwzgl=2 i lp=30000</v>
      </c>
      <c r="H33" s="13" t="str">
        <f t="shared" si="8"/>
        <v>rokwzgl=3 i lp=30000</v>
      </c>
      <c r="I33" s="13" t="str">
        <f t="shared" si="8"/>
        <v>rokwzgl=4 i lp=30000</v>
      </c>
      <c r="J33" s="13" t="str">
        <f t="shared" si="8"/>
        <v>rokwzgl=5 i lp=30000</v>
      </c>
      <c r="K33" s="13" t="str">
        <f t="shared" si="8"/>
        <v>rokwzgl=6 i lp=30000</v>
      </c>
      <c r="L33" s="13" t="str">
        <f t="shared" si="8"/>
        <v>rokwzgl=7 i lp=30000</v>
      </c>
      <c r="M33" s="13" t="str">
        <f t="shared" si="8"/>
        <v>rokwzgl=8 i lp=30000</v>
      </c>
      <c r="N33" s="13" t="str">
        <f t="shared" si="9"/>
        <v>rokwzgl=9 i lp=30000</v>
      </c>
      <c r="O33" s="13" t="str">
        <f t="shared" si="9"/>
        <v>rokwzgl=10 i lp=30000</v>
      </c>
      <c r="P33" s="13" t="str">
        <f t="shared" si="9"/>
        <v>rokwzgl=11 i lp=30000</v>
      </c>
      <c r="Q33" s="13" t="str">
        <f t="shared" si="9"/>
        <v>rokwzgl=12 i lp=30000</v>
      </c>
      <c r="R33" s="13" t="str">
        <f t="shared" si="9"/>
        <v>rokwzgl=13 i lp=30000</v>
      </c>
      <c r="S33" s="13" t="str">
        <f t="shared" si="9"/>
        <v>rokwzgl=14 i lp=30000</v>
      </c>
      <c r="T33" s="13" t="str">
        <f t="shared" si="9"/>
        <v>rokwzgl=15 i lp=30000</v>
      </c>
      <c r="U33" s="13" t="str">
        <f t="shared" si="9"/>
        <v>rokwzgl=16 i lp=30000</v>
      </c>
      <c r="V33" s="13" t="str">
        <f t="shared" si="9"/>
        <v>rokwzgl=17 i lp=30000</v>
      </c>
      <c r="W33" s="13" t="str">
        <f t="shared" si="9"/>
        <v>rokwzgl=18 i lp=30000</v>
      </c>
      <c r="X33" s="13" t="str">
        <f t="shared" si="11"/>
        <v>rokwzgl=19 i lp=30000</v>
      </c>
      <c r="Y33" s="13" t="str">
        <f t="shared" si="11"/>
        <v>rokwzgl=20 i lp=30000</v>
      </c>
      <c r="Z33" s="13" t="str">
        <f t="shared" si="11"/>
        <v>rokwzgl=21 i lp=30000</v>
      </c>
      <c r="AA33" s="13" t="str">
        <f t="shared" si="11"/>
        <v>rokwzgl=22 i lp=30000</v>
      </c>
      <c r="AB33" s="13" t="str">
        <f t="shared" si="11"/>
        <v>rokwzgl=23 i lp=30000</v>
      </c>
      <c r="AC33" s="13" t="str">
        <f t="shared" si="11"/>
        <v>rokwzgl=24 i lp=30000</v>
      </c>
      <c r="AD33" s="13" t="str">
        <f t="shared" si="11"/>
        <v>rokwzgl=25 i lp=30000</v>
      </c>
      <c r="AE33" s="13" t="str">
        <f t="shared" si="11"/>
        <v>rokwzgl=26 i lp=30000</v>
      </c>
      <c r="AF33" s="13" t="str">
        <f t="shared" si="11"/>
        <v>rokwzgl=27 i lp=30000</v>
      </c>
      <c r="AG33" s="13" t="str">
        <f t="shared" si="11"/>
        <v>rokwzgl=28 i lp=30000</v>
      </c>
      <c r="AH33" s="13" t="str">
        <f t="shared" si="11"/>
        <v>rokwzgl=29 i lp=30000</v>
      </c>
      <c r="AI33" s="13" t="str">
        <f t="shared" si="11"/>
        <v>rokwzgl=30 i lp=30000</v>
      </c>
      <c r="AJ33" s="13" t="str">
        <f t="shared" si="6"/>
        <v>rokwzgl=31 i lp=30000</v>
      </c>
      <c r="AK33" s="13" t="str">
        <f t="shared" si="6"/>
        <v>rokwzgl=32 i lp=30000</v>
      </c>
      <c r="AL33" s="13" t="str">
        <f t="shared" si="6"/>
        <v>rokwzgl=33 i lp=30000</v>
      </c>
      <c r="AM33" s="13" t="str">
        <f t="shared" si="6"/>
        <v>rokwzgl=34 i lp=30000</v>
      </c>
      <c r="AN33" s="13" t="str">
        <f t="shared" si="10"/>
        <v>rokwzgl=35 i lp=30000</v>
      </c>
      <c r="AO33" s="13" t="str">
        <f t="shared" si="10"/>
        <v>rokwzgl=36 i lp=30000</v>
      </c>
      <c r="AP33" s="13" t="str">
        <f t="shared" si="10"/>
        <v>rokwzgl=37 i lp=30000</v>
      </c>
      <c r="AQ33" s="13" t="str">
        <f t="shared" si="10"/>
        <v>rokwzgl=38 i lp=30000</v>
      </c>
      <c r="AR33" s="13" t="str">
        <f t="shared" si="10"/>
        <v>rokwzgl=39 i lp=30000</v>
      </c>
    </row>
    <row r="34" spans="1:44">
      <c r="A34" s="29">
        <v>31000</v>
      </c>
      <c r="B34" s="12" t="s">
        <v>227</v>
      </c>
      <c r="C34" s="13" t="s">
        <v>131</v>
      </c>
      <c r="D34" s="13" t="str">
        <f t="shared" si="8"/>
        <v>rokwzgl=0 i lp=31000</v>
      </c>
      <c r="E34" s="13" t="str">
        <f t="shared" si="8"/>
        <v>rokwzgl=0 i lp=31000</v>
      </c>
      <c r="F34" s="13" t="str">
        <f t="shared" si="8"/>
        <v>rokwzgl=1 i lp=31000</v>
      </c>
      <c r="G34" s="13" t="str">
        <f t="shared" si="8"/>
        <v>rokwzgl=2 i lp=31000</v>
      </c>
      <c r="H34" s="13" t="str">
        <f t="shared" si="8"/>
        <v>rokwzgl=3 i lp=31000</v>
      </c>
      <c r="I34" s="13" t="str">
        <f t="shared" si="8"/>
        <v>rokwzgl=4 i lp=31000</v>
      </c>
      <c r="J34" s="13" t="str">
        <f t="shared" si="8"/>
        <v>rokwzgl=5 i lp=31000</v>
      </c>
      <c r="K34" s="13" t="str">
        <f t="shared" si="8"/>
        <v>rokwzgl=6 i lp=31000</v>
      </c>
      <c r="L34" s="13" t="str">
        <f t="shared" si="8"/>
        <v>rokwzgl=7 i lp=31000</v>
      </c>
      <c r="M34" s="13" t="str">
        <f t="shared" si="8"/>
        <v>rokwzgl=8 i lp=31000</v>
      </c>
      <c r="N34" s="13" t="str">
        <f t="shared" si="9"/>
        <v>rokwzgl=9 i lp=31000</v>
      </c>
      <c r="O34" s="13" t="str">
        <f t="shared" si="9"/>
        <v>rokwzgl=10 i lp=31000</v>
      </c>
      <c r="P34" s="13" t="str">
        <f t="shared" si="9"/>
        <v>rokwzgl=11 i lp=31000</v>
      </c>
      <c r="Q34" s="13" t="str">
        <f t="shared" si="9"/>
        <v>rokwzgl=12 i lp=31000</v>
      </c>
      <c r="R34" s="13" t="str">
        <f t="shared" si="9"/>
        <v>rokwzgl=13 i lp=31000</v>
      </c>
      <c r="S34" s="13" t="str">
        <f t="shared" si="9"/>
        <v>rokwzgl=14 i lp=31000</v>
      </c>
      <c r="T34" s="13" t="str">
        <f t="shared" si="9"/>
        <v>rokwzgl=15 i lp=31000</v>
      </c>
      <c r="U34" s="13" t="str">
        <f t="shared" si="9"/>
        <v>rokwzgl=16 i lp=31000</v>
      </c>
      <c r="V34" s="13" t="str">
        <f t="shared" si="9"/>
        <v>rokwzgl=17 i lp=31000</v>
      </c>
      <c r="W34" s="13" t="str">
        <f t="shared" si="9"/>
        <v>rokwzgl=18 i lp=31000</v>
      </c>
      <c r="X34" s="13" t="str">
        <f t="shared" si="11"/>
        <v>rokwzgl=19 i lp=31000</v>
      </c>
      <c r="Y34" s="13" t="str">
        <f t="shared" si="11"/>
        <v>rokwzgl=20 i lp=31000</v>
      </c>
      <c r="Z34" s="13" t="str">
        <f t="shared" si="11"/>
        <v>rokwzgl=21 i lp=31000</v>
      </c>
      <c r="AA34" s="13" t="str">
        <f t="shared" si="11"/>
        <v>rokwzgl=22 i lp=31000</v>
      </c>
      <c r="AB34" s="13" t="str">
        <f t="shared" si="11"/>
        <v>rokwzgl=23 i lp=31000</v>
      </c>
      <c r="AC34" s="13" t="str">
        <f t="shared" si="11"/>
        <v>rokwzgl=24 i lp=31000</v>
      </c>
      <c r="AD34" s="13" t="str">
        <f t="shared" si="11"/>
        <v>rokwzgl=25 i lp=31000</v>
      </c>
      <c r="AE34" s="13" t="str">
        <f t="shared" si="11"/>
        <v>rokwzgl=26 i lp=31000</v>
      </c>
      <c r="AF34" s="13" t="str">
        <f t="shared" si="11"/>
        <v>rokwzgl=27 i lp=31000</v>
      </c>
      <c r="AG34" s="13" t="str">
        <f t="shared" si="11"/>
        <v>rokwzgl=28 i lp=31000</v>
      </c>
      <c r="AH34" s="13" t="str">
        <f t="shared" si="11"/>
        <v>rokwzgl=29 i lp=31000</v>
      </c>
      <c r="AI34" s="13" t="str">
        <f t="shared" si="11"/>
        <v>rokwzgl=30 i lp=31000</v>
      </c>
      <c r="AJ34" s="13" t="str">
        <f t="shared" si="6"/>
        <v>rokwzgl=31 i lp=31000</v>
      </c>
      <c r="AK34" s="13" t="str">
        <f t="shared" si="6"/>
        <v>rokwzgl=32 i lp=31000</v>
      </c>
      <c r="AL34" s="13" t="str">
        <f t="shared" si="6"/>
        <v>rokwzgl=33 i lp=31000</v>
      </c>
      <c r="AM34" s="13" t="str">
        <f t="shared" si="6"/>
        <v>rokwzgl=34 i lp=31000</v>
      </c>
      <c r="AN34" s="13" t="str">
        <f t="shared" si="10"/>
        <v>rokwzgl=35 i lp=31000</v>
      </c>
      <c r="AO34" s="13" t="str">
        <f t="shared" si="10"/>
        <v>rokwzgl=36 i lp=31000</v>
      </c>
      <c r="AP34" s="13" t="str">
        <f t="shared" si="10"/>
        <v>rokwzgl=37 i lp=31000</v>
      </c>
      <c r="AQ34" s="13" t="str">
        <f t="shared" si="10"/>
        <v>rokwzgl=38 i lp=31000</v>
      </c>
      <c r="AR34" s="13" t="str">
        <f t="shared" si="10"/>
        <v>rokwzgl=39 i lp=31000</v>
      </c>
    </row>
    <row r="35" spans="1:44">
      <c r="A35" s="29">
        <v>40000</v>
      </c>
      <c r="B35" s="12">
        <v>4</v>
      </c>
      <c r="C35" s="13" t="s">
        <v>19</v>
      </c>
      <c r="D35" s="13" t="str">
        <f t="shared" si="8"/>
        <v>rokwzgl=0 i lp=40000</v>
      </c>
      <c r="E35" s="13" t="str">
        <f t="shared" si="8"/>
        <v>rokwzgl=0 i lp=40000</v>
      </c>
      <c r="F35" s="13" t="str">
        <f t="shared" si="8"/>
        <v>rokwzgl=1 i lp=40000</v>
      </c>
      <c r="G35" s="13" t="str">
        <f t="shared" si="8"/>
        <v>rokwzgl=2 i lp=40000</v>
      </c>
      <c r="H35" s="13" t="str">
        <f t="shared" si="8"/>
        <v>rokwzgl=3 i lp=40000</v>
      </c>
      <c r="I35" s="13" t="str">
        <f t="shared" si="8"/>
        <v>rokwzgl=4 i lp=40000</v>
      </c>
      <c r="J35" s="13" t="str">
        <f t="shared" si="8"/>
        <v>rokwzgl=5 i lp=40000</v>
      </c>
      <c r="K35" s="13" t="str">
        <f t="shared" si="8"/>
        <v>rokwzgl=6 i lp=40000</v>
      </c>
      <c r="L35" s="13" t="str">
        <f t="shared" si="8"/>
        <v>rokwzgl=7 i lp=40000</v>
      </c>
      <c r="M35" s="13" t="str">
        <f t="shared" si="8"/>
        <v>rokwzgl=8 i lp=40000</v>
      </c>
      <c r="N35" s="13" t="str">
        <f t="shared" si="9"/>
        <v>rokwzgl=9 i lp=40000</v>
      </c>
      <c r="O35" s="13" t="str">
        <f t="shared" si="9"/>
        <v>rokwzgl=10 i lp=40000</v>
      </c>
      <c r="P35" s="13" t="str">
        <f t="shared" si="9"/>
        <v>rokwzgl=11 i lp=40000</v>
      </c>
      <c r="Q35" s="13" t="str">
        <f t="shared" si="9"/>
        <v>rokwzgl=12 i lp=40000</v>
      </c>
      <c r="R35" s="13" t="str">
        <f t="shared" si="9"/>
        <v>rokwzgl=13 i lp=40000</v>
      </c>
      <c r="S35" s="13" t="str">
        <f t="shared" si="9"/>
        <v>rokwzgl=14 i lp=40000</v>
      </c>
      <c r="T35" s="13" t="str">
        <f t="shared" si="9"/>
        <v>rokwzgl=15 i lp=40000</v>
      </c>
      <c r="U35" s="13" t="str">
        <f t="shared" si="9"/>
        <v>rokwzgl=16 i lp=40000</v>
      </c>
      <c r="V35" s="13" t="str">
        <f t="shared" si="9"/>
        <v>rokwzgl=17 i lp=40000</v>
      </c>
      <c r="W35" s="13" t="str">
        <f t="shared" si="9"/>
        <v>rokwzgl=18 i lp=40000</v>
      </c>
      <c r="X35" s="13" t="str">
        <f t="shared" si="11"/>
        <v>rokwzgl=19 i lp=40000</v>
      </c>
      <c r="Y35" s="13" t="str">
        <f t="shared" si="11"/>
        <v>rokwzgl=20 i lp=40000</v>
      </c>
      <c r="Z35" s="13" t="str">
        <f t="shared" si="11"/>
        <v>rokwzgl=21 i lp=40000</v>
      </c>
      <c r="AA35" s="13" t="str">
        <f t="shared" si="11"/>
        <v>rokwzgl=22 i lp=40000</v>
      </c>
      <c r="AB35" s="13" t="str">
        <f t="shared" si="11"/>
        <v>rokwzgl=23 i lp=40000</v>
      </c>
      <c r="AC35" s="13" t="str">
        <f t="shared" si="11"/>
        <v>rokwzgl=24 i lp=40000</v>
      </c>
      <c r="AD35" s="13" t="str">
        <f t="shared" si="11"/>
        <v>rokwzgl=25 i lp=40000</v>
      </c>
      <c r="AE35" s="13" t="str">
        <f t="shared" si="11"/>
        <v>rokwzgl=26 i lp=40000</v>
      </c>
      <c r="AF35" s="13" t="str">
        <f t="shared" si="11"/>
        <v>rokwzgl=27 i lp=40000</v>
      </c>
      <c r="AG35" s="13" t="str">
        <f t="shared" si="11"/>
        <v>rokwzgl=28 i lp=40000</v>
      </c>
      <c r="AH35" s="13" t="str">
        <f t="shared" si="11"/>
        <v>rokwzgl=29 i lp=40000</v>
      </c>
      <c r="AI35" s="13" t="str">
        <f t="shared" si="11"/>
        <v>rokwzgl=30 i lp=40000</v>
      </c>
      <c r="AJ35" s="13" t="str">
        <f t="shared" si="6"/>
        <v>rokwzgl=31 i lp=40000</v>
      </c>
      <c r="AK35" s="13" t="str">
        <f t="shared" si="6"/>
        <v>rokwzgl=32 i lp=40000</v>
      </c>
      <c r="AL35" s="13" t="str">
        <f t="shared" si="6"/>
        <v>rokwzgl=33 i lp=40000</v>
      </c>
      <c r="AM35" s="13" t="str">
        <f t="shared" si="6"/>
        <v>rokwzgl=34 i lp=40000</v>
      </c>
      <c r="AN35" s="13" t="str">
        <f t="shared" si="10"/>
        <v>rokwzgl=35 i lp=40000</v>
      </c>
      <c r="AO35" s="13" t="str">
        <f t="shared" si="10"/>
        <v>rokwzgl=36 i lp=40000</v>
      </c>
      <c r="AP35" s="13" t="str">
        <f t="shared" si="10"/>
        <v>rokwzgl=37 i lp=40000</v>
      </c>
      <c r="AQ35" s="13" t="str">
        <f t="shared" si="10"/>
        <v>rokwzgl=38 i lp=40000</v>
      </c>
      <c r="AR35" s="13" t="str">
        <f t="shared" si="10"/>
        <v>rokwzgl=39 i lp=40000</v>
      </c>
    </row>
    <row r="36" spans="1:44">
      <c r="A36" s="29">
        <v>41000</v>
      </c>
      <c r="B36" s="12" t="s">
        <v>50</v>
      </c>
      <c r="C36" s="13" t="s">
        <v>132</v>
      </c>
      <c r="D36" s="13" t="str">
        <f t="shared" ref="D36:M45" si="12">+"rokwzgl="&amp;D$9&amp;" i lp="&amp;$A36</f>
        <v>rokwzgl=0 i lp=41000</v>
      </c>
      <c r="E36" s="13" t="str">
        <f t="shared" si="12"/>
        <v>rokwzgl=0 i lp=41000</v>
      </c>
      <c r="F36" s="13" t="str">
        <f t="shared" si="12"/>
        <v>rokwzgl=1 i lp=41000</v>
      </c>
      <c r="G36" s="13" t="str">
        <f t="shared" si="12"/>
        <v>rokwzgl=2 i lp=41000</v>
      </c>
      <c r="H36" s="13" t="str">
        <f t="shared" si="12"/>
        <v>rokwzgl=3 i lp=41000</v>
      </c>
      <c r="I36" s="13" t="str">
        <f t="shared" si="12"/>
        <v>rokwzgl=4 i lp=41000</v>
      </c>
      <c r="J36" s="13" t="str">
        <f t="shared" si="12"/>
        <v>rokwzgl=5 i lp=41000</v>
      </c>
      <c r="K36" s="13" t="str">
        <f t="shared" si="12"/>
        <v>rokwzgl=6 i lp=41000</v>
      </c>
      <c r="L36" s="13" t="str">
        <f t="shared" si="12"/>
        <v>rokwzgl=7 i lp=41000</v>
      </c>
      <c r="M36" s="13" t="str">
        <f t="shared" si="12"/>
        <v>rokwzgl=8 i lp=41000</v>
      </c>
      <c r="N36" s="13" t="str">
        <f t="shared" ref="N36:W45" si="13">+"rokwzgl="&amp;N$9&amp;" i lp="&amp;$A36</f>
        <v>rokwzgl=9 i lp=41000</v>
      </c>
      <c r="O36" s="13" t="str">
        <f t="shared" si="13"/>
        <v>rokwzgl=10 i lp=41000</v>
      </c>
      <c r="P36" s="13" t="str">
        <f t="shared" si="13"/>
        <v>rokwzgl=11 i lp=41000</v>
      </c>
      <c r="Q36" s="13" t="str">
        <f t="shared" si="13"/>
        <v>rokwzgl=12 i lp=41000</v>
      </c>
      <c r="R36" s="13" t="str">
        <f t="shared" si="13"/>
        <v>rokwzgl=13 i lp=41000</v>
      </c>
      <c r="S36" s="13" t="str">
        <f t="shared" si="13"/>
        <v>rokwzgl=14 i lp=41000</v>
      </c>
      <c r="T36" s="13" t="str">
        <f t="shared" si="13"/>
        <v>rokwzgl=15 i lp=41000</v>
      </c>
      <c r="U36" s="13" t="str">
        <f t="shared" si="13"/>
        <v>rokwzgl=16 i lp=41000</v>
      </c>
      <c r="V36" s="13" t="str">
        <f t="shared" si="13"/>
        <v>rokwzgl=17 i lp=41000</v>
      </c>
      <c r="W36" s="13" t="str">
        <f t="shared" si="13"/>
        <v>rokwzgl=18 i lp=41000</v>
      </c>
      <c r="X36" s="13" t="str">
        <f t="shared" si="11"/>
        <v>rokwzgl=19 i lp=41000</v>
      </c>
      <c r="Y36" s="13" t="str">
        <f t="shared" si="11"/>
        <v>rokwzgl=20 i lp=41000</v>
      </c>
      <c r="Z36" s="13" t="str">
        <f t="shared" si="11"/>
        <v>rokwzgl=21 i lp=41000</v>
      </c>
      <c r="AA36" s="13" t="str">
        <f t="shared" si="11"/>
        <v>rokwzgl=22 i lp=41000</v>
      </c>
      <c r="AB36" s="13" t="str">
        <f t="shared" si="11"/>
        <v>rokwzgl=23 i lp=41000</v>
      </c>
      <c r="AC36" s="13" t="str">
        <f t="shared" si="11"/>
        <v>rokwzgl=24 i lp=41000</v>
      </c>
      <c r="AD36" s="13" t="str">
        <f t="shared" si="11"/>
        <v>rokwzgl=25 i lp=41000</v>
      </c>
      <c r="AE36" s="13" t="str">
        <f t="shared" si="11"/>
        <v>rokwzgl=26 i lp=41000</v>
      </c>
      <c r="AF36" s="13" t="str">
        <f t="shared" si="11"/>
        <v>rokwzgl=27 i lp=41000</v>
      </c>
      <c r="AG36" s="13" t="str">
        <f t="shared" si="11"/>
        <v>rokwzgl=28 i lp=41000</v>
      </c>
      <c r="AH36" s="13" t="str">
        <f t="shared" si="11"/>
        <v>rokwzgl=29 i lp=41000</v>
      </c>
      <c r="AI36" s="13" t="str">
        <f t="shared" si="11"/>
        <v>rokwzgl=30 i lp=41000</v>
      </c>
      <c r="AJ36" s="13" t="str">
        <f t="shared" si="6"/>
        <v>rokwzgl=31 i lp=41000</v>
      </c>
      <c r="AK36" s="13" t="str">
        <f t="shared" si="6"/>
        <v>rokwzgl=32 i lp=41000</v>
      </c>
      <c r="AL36" s="13" t="str">
        <f t="shared" si="6"/>
        <v>rokwzgl=33 i lp=41000</v>
      </c>
      <c r="AM36" s="13" t="str">
        <f t="shared" si="6"/>
        <v>rokwzgl=34 i lp=41000</v>
      </c>
      <c r="AN36" s="13" t="str">
        <f t="shared" si="10"/>
        <v>rokwzgl=35 i lp=41000</v>
      </c>
      <c r="AO36" s="13" t="str">
        <f t="shared" si="10"/>
        <v>rokwzgl=36 i lp=41000</v>
      </c>
      <c r="AP36" s="13" t="str">
        <f t="shared" si="10"/>
        <v>rokwzgl=37 i lp=41000</v>
      </c>
      <c r="AQ36" s="13" t="str">
        <f t="shared" si="10"/>
        <v>rokwzgl=38 i lp=41000</v>
      </c>
      <c r="AR36" s="13" t="str">
        <f t="shared" si="10"/>
        <v>rokwzgl=39 i lp=41000</v>
      </c>
    </row>
    <row r="37" spans="1:44">
      <c r="A37" s="29">
        <v>41100</v>
      </c>
      <c r="B37" s="12" t="s">
        <v>38</v>
      </c>
      <c r="C37" s="13" t="s">
        <v>133</v>
      </c>
      <c r="D37" s="13" t="str">
        <f t="shared" si="12"/>
        <v>rokwzgl=0 i lp=41100</v>
      </c>
      <c r="E37" s="13" t="str">
        <f t="shared" si="12"/>
        <v>rokwzgl=0 i lp=41100</v>
      </c>
      <c r="F37" s="13" t="str">
        <f t="shared" si="12"/>
        <v>rokwzgl=1 i lp=41100</v>
      </c>
      <c r="G37" s="13" t="str">
        <f t="shared" si="12"/>
        <v>rokwzgl=2 i lp=41100</v>
      </c>
      <c r="H37" s="13" t="str">
        <f t="shared" si="12"/>
        <v>rokwzgl=3 i lp=41100</v>
      </c>
      <c r="I37" s="13" t="str">
        <f t="shared" si="12"/>
        <v>rokwzgl=4 i lp=41100</v>
      </c>
      <c r="J37" s="13" t="str">
        <f t="shared" si="12"/>
        <v>rokwzgl=5 i lp=41100</v>
      </c>
      <c r="K37" s="13" t="str">
        <f t="shared" si="12"/>
        <v>rokwzgl=6 i lp=41100</v>
      </c>
      <c r="L37" s="13" t="str">
        <f t="shared" si="12"/>
        <v>rokwzgl=7 i lp=41100</v>
      </c>
      <c r="M37" s="13" t="str">
        <f t="shared" si="12"/>
        <v>rokwzgl=8 i lp=41100</v>
      </c>
      <c r="N37" s="13" t="str">
        <f t="shared" si="13"/>
        <v>rokwzgl=9 i lp=41100</v>
      </c>
      <c r="O37" s="13" t="str">
        <f t="shared" si="13"/>
        <v>rokwzgl=10 i lp=41100</v>
      </c>
      <c r="P37" s="13" t="str">
        <f t="shared" si="13"/>
        <v>rokwzgl=11 i lp=41100</v>
      </c>
      <c r="Q37" s="13" t="str">
        <f t="shared" si="13"/>
        <v>rokwzgl=12 i lp=41100</v>
      </c>
      <c r="R37" s="13" t="str">
        <f t="shared" si="13"/>
        <v>rokwzgl=13 i lp=41100</v>
      </c>
      <c r="S37" s="13" t="str">
        <f t="shared" si="13"/>
        <v>rokwzgl=14 i lp=41100</v>
      </c>
      <c r="T37" s="13" t="str">
        <f t="shared" si="13"/>
        <v>rokwzgl=15 i lp=41100</v>
      </c>
      <c r="U37" s="13" t="str">
        <f t="shared" si="13"/>
        <v>rokwzgl=16 i lp=41100</v>
      </c>
      <c r="V37" s="13" t="str">
        <f t="shared" si="13"/>
        <v>rokwzgl=17 i lp=41100</v>
      </c>
      <c r="W37" s="13" t="str">
        <f t="shared" si="13"/>
        <v>rokwzgl=18 i lp=41100</v>
      </c>
      <c r="X37" s="13" t="str">
        <f t="shared" si="11"/>
        <v>rokwzgl=19 i lp=41100</v>
      </c>
      <c r="Y37" s="13" t="str">
        <f t="shared" si="11"/>
        <v>rokwzgl=20 i lp=41100</v>
      </c>
      <c r="Z37" s="13" t="str">
        <f t="shared" si="11"/>
        <v>rokwzgl=21 i lp=41100</v>
      </c>
      <c r="AA37" s="13" t="str">
        <f t="shared" si="11"/>
        <v>rokwzgl=22 i lp=41100</v>
      </c>
      <c r="AB37" s="13" t="str">
        <f t="shared" si="11"/>
        <v>rokwzgl=23 i lp=41100</v>
      </c>
      <c r="AC37" s="13" t="str">
        <f t="shared" si="11"/>
        <v>rokwzgl=24 i lp=41100</v>
      </c>
      <c r="AD37" s="13" t="str">
        <f t="shared" si="11"/>
        <v>rokwzgl=25 i lp=41100</v>
      </c>
      <c r="AE37" s="13" t="str">
        <f t="shared" si="11"/>
        <v>rokwzgl=26 i lp=41100</v>
      </c>
      <c r="AF37" s="13" t="str">
        <f t="shared" si="11"/>
        <v>rokwzgl=27 i lp=41100</v>
      </c>
      <c r="AG37" s="13" t="str">
        <f t="shared" si="11"/>
        <v>rokwzgl=28 i lp=41100</v>
      </c>
      <c r="AH37" s="13" t="str">
        <f t="shared" si="11"/>
        <v>rokwzgl=29 i lp=41100</v>
      </c>
      <c r="AI37" s="13" t="str">
        <f t="shared" si="11"/>
        <v>rokwzgl=30 i lp=41100</v>
      </c>
      <c r="AJ37" s="13" t="str">
        <f t="shared" si="6"/>
        <v>rokwzgl=31 i lp=41100</v>
      </c>
      <c r="AK37" s="13" t="str">
        <f t="shared" si="6"/>
        <v>rokwzgl=32 i lp=41100</v>
      </c>
      <c r="AL37" s="13" t="str">
        <f t="shared" si="6"/>
        <v>rokwzgl=33 i lp=41100</v>
      </c>
      <c r="AM37" s="13" t="str">
        <f t="shared" si="6"/>
        <v>rokwzgl=34 i lp=41100</v>
      </c>
      <c r="AN37" s="13" t="str">
        <f t="shared" si="10"/>
        <v>rokwzgl=35 i lp=41100</v>
      </c>
      <c r="AO37" s="13" t="str">
        <f t="shared" si="10"/>
        <v>rokwzgl=36 i lp=41100</v>
      </c>
      <c r="AP37" s="13" t="str">
        <f t="shared" si="10"/>
        <v>rokwzgl=37 i lp=41100</v>
      </c>
      <c r="AQ37" s="13" t="str">
        <f t="shared" si="10"/>
        <v>rokwzgl=38 i lp=41100</v>
      </c>
      <c r="AR37" s="13" t="str">
        <f t="shared" si="10"/>
        <v>rokwzgl=39 i lp=41100</v>
      </c>
    </row>
    <row r="38" spans="1:44">
      <c r="A38" s="29">
        <v>42000</v>
      </c>
      <c r="B38" s="12" t="s">
        <v>51</v>
      </c>
      <c r="C38" s="13" t="s">
        <v>134</v>
      </c>
      <c r="D38" s="13" t="str">
        <f t="shared" si="12"/>
        <v>rokwzgl=0 i lp=42000</v>
      </c>
      <c r="E38" s="13" t="str">
        <f t="shared" si="12"/>
        <v>rokwzgl=0 i lp=42000</v>
      </c>
      <c r="F38" s="13" t="str">
        <f t="shared" si="12"/>
        <v>rokwzgl=1 i lp=42000</v>
      </c>
      <c r="G38" s="13" t="str">
        <f t="shared" si="12"/>
        <v>rokwzgl=2 i lp=42000</v>
      </c>
      <c r="H38" s="13" t="str">
        <f t="shared" si="12"/>
        <v>rokwzgl=3 i lp=42000</v>
      </c>
      <c r="I38" s="13" t="str">
        <f t="shared" si="12"/>
        <v>rokwzgl=4 i lp=42000</v>
      </c>
      <c r="J38" s="13" t="str">
        <f t="shared" si="12"/>
        <v>rokwzgl=5 i lp=42000</v>
      </c>
      <c r="K38" s="13" t="str">
        <f t="shared" si="12"/>
        <v>rokwzgl=6 i lp=42000</v>
      </c>
      <c r="L38" s="13" t="str">
        <f t="shared" si="12"/>
        <v>rokwzgl=7 i lp=42000</v>
      </c>
      <c r="M38" s="13" t="str">
        <f t="shared" si="12"/>
        <v>rokwzgl=8 i lp=42000</v>
      </c>
      <c r="N38" s="13" t="str">
        <f t="shared" si="13"/>
        <v>rokwzgl=9 i lp=42000</v>
      </c>
      <c r="O38" s="13" t="str">
        <f t="shared" si="13"/>
        <v>rokwzgl=10 i lp=42000</v>
      </c>
      <c r="P38" s="13" t="str">
        <f t="shared" si="13"/>
        <v>rokwzgl=11 i lp=42000</v>
      </c>
      <c r="Q38" s="13" t="str">
        <f t="shared" si="13"/>
        <v>rokwzgl=12 i lp=42000</v>
      </c>
      <c r="R38" s="13" t="str">
        <f t="shared" si="13"/>
        <v>rokwzgl=13 i lp=42000</v>
      </c>
      <c r="S38" s="13" t="str">
        <f t="shared" si="13"/>
        <v>rokwzgl=14 i lp=42000</v>
      </c>
      <c r="T38" s="13" t="str">
        <f t="shared" si="13"/>
        <v>rokwzgl=15 i lp=42000</v>
      </c>
      <c r="U38" s="13" t="str">
        <f t="shared" si="13"/>
        <v>rokwzgl=16 i lp=42000</v>
      </c>
      <c r="V38" s="13" t="str">
        <f t="shared" si="13"/>
        <v>rokwzgl=17 i lp=42000</v>
      </c>
      <c r="W38" s="13" t="str">
        <f t="shared" si="13"/>
        <v>rokwzgl=18 i lp=42000</v>
      </c>
      <c r="X38" s="13" t="str">
        <f t="shared" si="11"/>
        <v>rokwzgl=19 i lp=42000</v>
      </c>
      <c r="Y38" s="13" t="str">
        <f t="shared" si="11"/>
        <v>rokwzgl=20 i lp=42000</v>
      </c>
      <c r="Z38" s="13" t="str">
        <f t="shared" si="11"/>
        <v>rokwzgl=21 i lp=42000</v>
      </c>
      <c r="AA38" s="13" t="str">
        <f t="shared" si="11"/>
        <v>rokwzgl=22 i lp=42000</v>
      </c>
      <c r="AB38" s="13" t="str">
        <f t="shared" si="11"/>
        <v>rokwzgl=23 i lp=42000</v>
      </c>
      <c r="AC38" s="13" t="str">
        <f t="shared" si="11"/>
        <v>rokwzgl=24 i lp=42000</v>
      </c>
      <c r="AD38" s="13" t="str">
        <f t="shared" si="11"/>
        <v>rokwzgl=25 i lp=42000</v>
      </c>
      <c r="AE38" s="13" t="str">
        <f t="shared" si="11"/>
        <v>rokwzgl=26 i lp=42000</v>
      </c>
      <c r="AF38" s="13" t="str">
        <f t="shared" si="11"/>
        <v>rokwzgl=27 i lp=42000</v>
      </c>
      <c r="AG38" s="13" t="str">
        <f t="shared" si="11"/>
        <v>rokwzgl=28 i lp=42000</v>
      </c>
      <c r="AH38" s="13" t="str">
        <f t="shared" si="11"/>
        <v>rokwzgl=29 i lp=42000</v>
      </c>
      <c r="AI38" s="13" t="str">
        <f t="shared" si="11"/>
        <v>rokwzgl=30 i lp=42000</v>
      </c>
      <c r="AJ38" s="13" t="str">
        <f t="shared" si="6"/>
        <v>rokwzgl=31 i lp=42000</v>
      </c>
      <c r="AK38" s="13" t="str">
        <f t="shared" si="6"/>
        <v>rokwzgl=32 i lp=42000</v>
      </c>
      <c r="AL38" s="13" t="str">
        <f t="shared" si="6"/>
        <v>rokwzgl=33 i lp=42000</v>
      </c>
      <c r="AM38" s="13" t="str">
        <f t="shared" si="6"/>
        <v>rokwzgl=34 i lp=42000</v>
      </c>
      <c r="AN38" s="13" t="str">
        <f t="shared" si="10"/>
        <v>rokwzgl=35 i lp=42000</v>
      </c>
      <c r="AO38" s="13" t="str">
        <f t="shared" si="10"/>
        <v>rokwzgl=36 i lp=42000</v>
      </c>
      <c r="AP38" s="13" t="str">
        <f t="shared" si="10"/>
        <v>rokwzgl=37 i lp=42000</v>
      </c>
      <c r="AQ38" s="13" t="str">
        <f t="shared" si="10"/>
        <v>rokwzgl=38 i lp=42000</v>
      </c>
      <c r="AR38" s="13" t="str">
        <f t="shared" si="10"/>
        <v>rokwzgl=39 i lp=42000</v>
      </c>
    </row>
    <row r="39" spans="1:44">
      <c r="A39" s="29">
        <v>42100</v>
      </c>
      <c r="B39" s="12" t="s">
        <v>39</v>
      </c>
      <c r="C39" s="13" t="s">
        <v>135</v>
      </c>
      <c r="D39" s="13" t="str">
        <f t="shared" si="12"/>
        <v>rokwzgl=0 i lp=42100</v>
      </c>
      <c r="E39" s="13" t="str">
        <f t="shared" si="12"/>
        <v>rokwzgl=0 i lp=42100</v>
      </c>
      <c r="F39" s="13" t="str">
        <f t="shared" si="12"/>
        <v>rokwzgl=1 i lp=42100</v>
      </c>
      <c r="G39" s="13" t="str">
        <f t="shared" si="12"/>
        <v>rokwzgl=2 i lp=42100</v>
      </c>
      <c r="H39" s="13" t="str">
        <f t="shared" si="12"/>
        <v>rokwzgl=3 i lp=42100</v>
      </c>
      <c r="I39" s="13" t="str">
        <f t="shared" si="12"/>
        <v>rokwzgl=4 i lp=42100</v>
      </c>
      <c r="J39" s="13" t="str">
        <f t="shared" si="12"/>
        <v>rokwzgl=5 i lp=42100</v>
      </c>
      <c r="K39" s="13" t="str">
        <f t="shared" si="12"/>
        <v>rokwzgl=6 i lp=42100</v>
      </c>
      <c r="L39" s="13" t="str">
        <f t="shared" si="12"/>
        <v>rokwzgl=7 i lp=42100</v>
      </c>
      <c r="M39" s="13" t="str">
        <f t="shared" si="12"/>
        <v>rokwzgl=8 i lp=42100</v>
      </c>
      <c r="N39" s="13" t="str">
        <f t="shared" si="13"/>
        <v>rokwzgl=9 i lp=42100</v>
      </c>
      <c r="O39" s="13" t="str">
        <f t="shared" si="13"/>
        <v>rokwzgl=10 i lp=42100</v>
      </c>
      <c r="P39" s="13" t="str">
        <f t="shared" si="13"/>
        <v>rokwzgl=11 i lp=42100</v>
      </c>
      <c r="Q39" s="13" t="str">
        <f t="shared" si="13"/>
        <v>rokwzgl=12 i lp=42100</v>
      </c>
      <c r="R39" s="13" t="str">
        <f t="shared" si="13"/>
        <v>rokwzgl=13 i lp=42100</v>
      </c>
      <c r="S39" s="13" t="str">
        <f t="shared" si="13"/>
        <v>rokwzgl=14 i lp=42100</v>
      </c>
      <c r="T39" s="13" t="str">
        <f t="shared" si="13"/>
        <v>rokwzgl=15 i lp=42100</v>
      </c>
      <c r="U39" s="13" t="str">
        <f t="shared" si="13"/>
        <v>rokwzgl=16 i lp=42100</v>
      </c>
      <c r="V39" s="13" t="str">
        <f t="shared" si="13"/>
        <v>rokwzgl=17 i lp=42100</v>
      </c>
      <c r="W39" s="13" t="str">
        <f t="shared" si="13"/>
        <v>rokwzgl=18 i lp=42100</v>
      </c>
      <c r="X39" s="13" t="str">
        <f t="shared" si="11"/>
        <v>rokwzgl=19 i lp=42100</v>
      </c>
      <c r="Y39" s="13" t="str">
        <f t="shared" si="11"/>
        <v>rokwzgl=20 i lp=42100</v>
      </c>
      <c r="Z39" s="13" t="str">
        <f t="shared" si="11"/>
        <v>rokwzgl=21 i lp=42100</v>
      </c>
      <c r="AA39" s="13" t="str">
        <f t="shared" si="11"/>
        <v>rokwzgl=22 i lp=42100</v>
      </c>
      <c r="AB39" s="13" t="str">
        <f t="shared" si="11"/>
        <v>rokwzgl=23 i lp=42100</v>
      </c>
      <c r="AC39" s="13" t="str">
        <f t="shared" si="11"/>
        <v>rokwzgl=24 i lp=42100</v>
      </c>
      <c r="AD39" s="13" t="str">
        <f t="shared" si="11"/>
        <v>rokwzgl=25 i lp=42100</v>
      </c>
      <c r="AE39" s="13" t="str">
        <f t="shared" si="11"/>
        <v>rokwzgl=26 i lp=42100</v>
      </c>
      <c r="AF39" s="13" t="str">
        <f t="shared" si="11"/>
        <v>rokwzgl=27 i lp=42100</v>
      </c>
      <c r="AG39" s="13" t="str">
        <f t="shared" si="11"/>
        <v>rokwzgl=28 i lp=42100</v>
      </c>
      <c r="AH39" s="13" t="str">
        <f t="shared" si="11"/>
        <v>rokwzgl=29 i lp=42100</v>
      </c>
      <c r="AI39" s="13" t="str">
        <f t="shared" si="11"/>
        <v>rokwzgl=30 i lp=42100</v>
      </c>
      <c r="AJ39" s="13" t="str">
        <f t="shared" ref="AJ39:AM58" si="14">+"rokwzgl="&amp;AJ$9&amp;" i lp="&amp;$A39</f>
        <v>rokwzgl=31 i lp=42100</v>
      </c>
      <c r="AK39" s="13" t="str">
        <f t="shared" si="14"/>
        <v>rokwzgl=32 i lp=42100</v>
      </c>
      <c r="AL39" s="13" t="str">
        <f t="shared" si="14"/>
        <v>rokwzgl=33 i lp=42100</v>
      </c>
      <c r="AM39" s="13" t="str">
        <f t="shared" si="14"/>
        <v>rokwzgl=34 i lp=42100</v>
      </c>
      <c r="AN39" s="13" t="str">
        <f t="shared" si="10"/>
        <v>rokwzgl=35 i lp=42100</v>
      </c>
      <c r="AO39" s="13" t="str">
        <f t="shared" si="10"/>
        <v>rokwzgl=36 i lp=42100</v>
      </c>
      <c r="AP39" s="13" t="str">
        <f t="shared" si="10"/>
        <v>rokwzgl=37 i lp=42100</v>
      </c>
      <c r="AQ39" s="13" t="str">
        <f t="shared" si="10"/>
        <v>rokwzgl=38 i lp=42100</v>
      </c>
      <c r="AR39" s="13" t="str">
        <f t="shared" si="10"/>
        <v>rokwzgl=39 i lp=42100</v>
      </c>
    </row>
    <row r="40" spans="1:44">
      <c r="A40" s="29">
        <v>43000</v>
      </c>
      <c r="B40" s="12" t="s">
        <v>52</v>
      </c>
      <c r="C40" s="13" t="s">
        <v>136</v>
      </c>
      <c r="D40" s="13" t="str">
        <f t="shared" si="12"/>
        <v>rokwzgl=0 i lp=43000</v>
      </c>
      <c r="E40" s="13" t="str">
        <f t="shared" si="12"/>
        <v>rokwzgl=0 i lp=43000</v>
      </c>
      <c r="F40" s="13" t="str">
        <f t="shared" si="12"/>
        <v>rokwzgl=1 i lp=43000</v>
      </c>
      <c r="G40" s="13" t="str">
        <f t="shared" si="12"/>
        <v>rokwzgl=2 i lp=43000</v>
      </c>
      <c r="H40" s="13" t="str">
        <f t="shared" si="12"/>
        <v>rokwzgl=3 i lp=43000</v>
      </c>
      <c r="I40" s="13" t="str">
        <f t="shared" si="12"/>
        <v>rokwzgl=4 i lp=43000</v>
      </c>
      <c r="J40" s="13" t="str">
        <f t="shared" si="12"/>
        <v>rokwzgl=5 i lp=43000</v>
      </c>
      <c r="K40" s="13" t="str">
        <f t="shared" si="12"/>
        <v>rokwzgl=6 i lp=43000</v>
      </c>
      <c r="L40" s="13" t="str">
        <f t="shared" si="12"/>
        <v>rokwzgl=7 i lp=43000</v>
      </c>
      <c r="M40" s="13" t="str">
        <f t="shared" si="12"/>
        <v>rokwzgl=8 i lp=43000</v>
      </c>
      <c r="N40" s="13" t="str">
        <f t="shared" si="13"/>
        <v>rokwzgl=9 i lp=43000</v>
      </c>
      <c r="O40" s="13" t="str">
        <f t="shared" si="13"/>
        <v>rokwzgl=10 i lp=43000</v>
      </c>
      <c r="P40" s="13" t="str">
        <f t="shared" si="13"/>
        <v>rokwzgl=11 i lp=43000</v>
      </c>
      <c r="Q40" s="13" t="str">
        <f t="shared" si="13"/>
        <v>rokwzgl=12 i lp=43000</v>
      </c>
      <c r="R40" s="13" t="str">
        <f t="shared" si="13"/>
        <v>rokwzgl=13 i lp=43000</v>
      </c>
      <c r="S40" s="13" t="str">
        <f t="shared" si="13"/>
        <v>rokwzgl=14 i lp=43000</v>
      </c>
      <c r="T40" s="13" t="str">
        <f t="shared" si="13"/>
        <v>rokwzgl=15 i lp=43000</v>
      </c>
      <c r="U40" s="13" t="str">
        <f t="shared" si="13"/>
        <v>rokwzgl=16 i lp=43000</v>
      </c>
      <c r="V40" s="13" t="str">
        <f t="shared" si="13"/>
        <v>rokwzgl=17 i lp=43000</v>
      </c>
      <c r="W40" s="13" t="str">
        <f t="shared" si="13"/>
        <v>rokwzgl=18 i lp=43000</v>
      </c>
      <c r="X40" s="13" t="str">
        <f t="shared" ref="X40:AI49" si="15">+"rokwzgl="&amp;X$9&amp;" i lp="&amp;$A40</f>
        <v>rokwzgl=19 i lp=43000</v>
      </c>
      <c r="Y40" s="13" t="str">
        <f t="shared" si="15"/>
        <v>rokwzgl=20 i lp=43000</v>
      </c>
      <c r="Z40" s="13" t="str">
        <f t="shared" si="15"/>
        <v>rokwzgl=21 i lp=43000</v>
      </c>
      <c r="AA40" s="13" t="str">
        <f t="shared" si="15"/>
        <v>rokwzgl=22 i lp=43000</v>
      </c>
      <c r="AB40" s="13" t="str">
        <f t="shared" si="15"/>
        <v>rokwzgl=23 i lp=43000</v>
      </c>
      <c r="AC40" s="13" t="str">
        <f t="shared" si="15"/>
        <v>rokwzgl=24 i lp=43000</v>
      </c>
      <c r="AD40" s="13" t="str">
        <f t="shared" si="15"/>
        <v>rokwzgl=25 i lp=43000</v>
      </c>
      <c r="AE40" s="13" t="str">
        <f t="shared" si="15"/>
        <v>rokwzgl=26 i lp=43000</v>
      </c>
      <c r="AF40" s="13" t="str">
        <f t="shared" si="15"/>
        <v>rokwzgl=27 i lp=43000</v>
      </c>
      <c r="AG40" s="13" t="str">
        <f t="shared" si="15"/>
        <v>rokwzgl=28 i lp=43000</v>
      </c>
      <c r="AH40" s="13" t="str">
        <f t="shared" si="15"/>
        <v>rokwzgl=29 i lp=43000</v>
      </c>
      <c r="AI40" s="13" t="str">
        <f t="shared" si="15"/>
        <v>rokwzgl=30 i lp=43000</v>
      </c>
      <c r="AJ40" s="13" t="str">
        <f t="shared" si="14"/>
        <v>rokwzgl=31 i lp=43000</v>
      </c>
      <c r="AK40" s="13" t="str">
        <f t="shared" si="14"/>
        <v>rokwzgl=32 i lp=43000</v>
      </c>
      <c r="AL40" s="13" t="str">
        <f t="shared" si="14"/>
        <v>rokwzgl=33 i lp=43000</v>
      </c>
      <c r="AM40" s="13" t="str">
        <f t="shared" si="14"/>
        <v>rokwzgl=34 i lp=43000</v>
      </c>
      <c r="AN40" s="13" t="str">
        <f t="shared" si="10"/>
        <v>rokwzgl=35 i lp=43000</v>
      </c>
      <c r="AO40" s="13" t="str">
        <f t="shared" si="10"/>
        <v>rokwzgl=36 i lp=43000</v>
      </c>
      <c r="AP40" s="13" t="str">
        <f t="shared" si="10"/>
        <v>rokwzgl=37 i lp=43000</v>
      </c>
      <c r="AQ40" s="13" t="str">
        <f t="shared" si="10"/>
        <v>rokwzgl=38 i lp=43000</v>
      </c>
      <c r="AR40" s="13" t="str">
        <f t="shared" si="10"/>
        <v>rokwzgl=39 i lp=43000</v>
      </c>
    </row>
    <row r="41" spans="1:44">
      <c r="A41" s="29">
        <v>43100</v>
      </c>
      <c r="B41" s="12" t="s">
        <v>40</v>
      </c>
      <c r="C41" s="13" t="s">
        <v>135</v>
      </c>
      <c r="D41" s="13" t="str">
        <f t="shared" si="12"/>
        <v>rokwzgl=0 i lp=43100</v>
      </c>
      <c r="E41" s="13" t="str">
        <f t="shared" si="12"/>
        <v>rokwzgl=0 i lp=43100</v>
      </c>
      <c r="F41" s="13" t="str">
        <f t="shared" si="12"/>
        <v>rokwzgl=1 i lp=43100</v>
      </c>
      <c r="G41" s="13" t="str">
        <f t="shared" si="12"/>
        <v>rokwzgl=2 i lp=43100</v>
      </c>
      <c r="H41" s="13" t="str">
        <f t="shared" si="12"/>
        <v>rokwzgl=3 i lp=43100</v>
      </c>
      <c r="I41" s="13" t="str">
        <f t="shared" si="12"/>
        <v>rokwzgl=4 i lp=43100</v>
      </c>
      <c r="J41" s="13" t="str">
        <f t="shared" si="12"/>
        <v>rokwzgl=5 i lp=43100</v>
      </c>
      <c r="K41" s="13" t="str">
        <f t="shared" si="12"/>
        <v>rokwzgl=6 i lp=43100</v>
      </c>
      <c r="L41" s="13" t="str">
        <f t="shared" si="12"/>
        <v>rokwzgl=7 i lp=43100</v>
      </c>
      <c r="M41" s="13" t="str">
        <f t="shared" si="12"/>
        <v>rokwzgl=8 i lp=43100</v>
      </c>
      <c r="N41" s="13" t="str">
        <f t="shared" si="13"/>
        <v>rokwzgl=9 i lp=43100</v>
      </c>
      <c r="O41" s="13" t="str">
        <f t="shared" si="13"/>
        <v>rokwzgl=10 i lp=43100</v>
      </c>
      <c r="P41" s="13" t="str">
        <f t="shared" si="13"/>
        <v>rokwzgl=11 i lp=43100</v>
      </c>
      <c r="Q41" s="13" t="str">
        <f t="shared" si="13"/>
        <v>rokwzgl=12 i lp=43100</v>
      </c>
      <c r="R41" s="13" t="str">
        <f t="shared" si="13"/>
        <v>rokwzgl=13 i lp=43100</v>
      </c>
      <c r="S41" s="13" t="str">
        <f t="shared" si="13"/>
        <v>rokwzgl=14 i lp=43100</v>
      </c>
      <c r="T41" s="13" t="str">
        <f t="shared" si="13"/>
        <v>rokwzgl=15 i lp=43100</v>
      </c>
      <c r="U41" s="13" t="str">
        <f t="shared" si="13"/>
        <v>rokwzgl=16 i lp=43100</v>
      </c>
      <c r="V41" s="13" t="str">
        <f t="shared" si="13"/>
        <v>rokwzgl=17 i lp=43100</v>
      </c>
      <c r="W41" s="13" t="str">
        <f t="shared" si="13"/>
        <v>rokwzgl=18 i lp=43100</v>
      </c>
      <c r="X41" s="13" t="str">
        <f t="shared" si="15"/>
        <v>rokwzgl=19 i lp=43100</v>
      </c>
      <c r="Y41" s="13" t="str">
        <f t="shared" si="15"/>
        <v>rokwzgl=20 i lp=43100</v>
      </c>
      <c r="Z41" s="13" t="str">
        <f t="shared" si="15"/>
        <v>rokwzgl=21 i lp=43100</v>
      </c>
      <c r="AA41" s="13" t="str">
        <f t="shared" si="15"/>
        <v>rokwzgl=22 i lp=43100</v>
      </c>
      <c r="AB41" s="13" t="str">
        <f t="shared" si="15"/>
        <v>rokwzgl=23 i lp=43100</v>
      </c>
      <c r="AC41" s="13" t="str">
        <f t="shared" si="15"/>
        <v>rokwzgl=24 i lp=43100</v>
      </c>
      <c r="AD41" s="13" t="str">
        <f t="shared" si="15"/>
        <v>rokwzgl=25 i lp=43100</v>
      </c>
      <c r="AE41" s="13" t="str">
        <f t="shared" si="15"/>
        <v>rokwzgl=26 i lp=43100</v>
      </c>
      <c r="AF41" s="13" t="str">
        <f t="shared" si="15"/>
        <v>rokwzgl=27 i lp=43100</v>
      </c>
      <c r="AG41" s="13" t="str">
        <f t="shared" si="15"/>
        <v>rokwzgl=28 i lp=43100</v>
      </c>
      <c r="AH41" s="13" t="str">
        <f t="shared" si="15"/>
        <v>rokwzgl=29 i lp=43100</v>
      </c>
      <c r="AI41" s="13" t="str">
        <f t="shared" si="15"/>
        <v>rokwzgl=30 i lp=43100</v>
      </c>
      <c r="AJ41" s="13" t="str">
        <f t="shared" si="14"/>
        <v>rokwzgl=31 i lp=43100</v>
      </c>
      <c r="AK41" s="13" t="str">
        <f t="shared" si="14"/>
        <v>rokwzgl=32 i lp=43100</v>
      </c>
      <c r="AL41" s="13" t="str">
        <f t="shared" si="14"/>
        <v>rokwzgl=33 i lp=43100</v>
      </c>
      <c r="AM41" s="13" t="str">
        <f t="shared" si="14"/>
        <v>rokwzgl=34 i lp=43100</v>
      </c>
      <c r="AN41" s="13" t="str">
        <f t="shared" si="10"/>
        <v>rokwzgl=35 i lp=43100</v>
      </c>
      <c r="AO41" s="13" t="str">
        <f t="shared" si="10"/>
        <v>rokwzgl=36 i lp=43100</v>
      </c>
      <c r="AP41" s="13" t="str">
        <f t="shared" si="10"/>
        <v>rokwzgl=37 i lp=43100</v>
      </c>
      <c r="AQ41" s="13" t="str">
        <f t="shared" si="10"/>
        <v>rokwzgl=38 i lp=43100</v>
      </c>
      <c r="AR41" s="13" t="str">
        <f t="shared" si="10"/>
        <v>rokwzgl=39 i lp=43100</v>
      </c>
    </row>
    <row r="42" spans="1:44">
      <c r="A42" s="29">
        <v>44000</v>
      </c>
      <c r="B42" s="12" t="s">
        <v>53</v>
      </c>
      <c r="C42" s="13" t="s">
        <v>137</v>
      </c>
      <c r="D42" s="13" t="str">
        <f t="shared" si="12"/>
        <v>rokwzgl=0 i lp=44000</v>
      </c>
      <c r="E42" s="13" t="str">
        <f t="shared" si="12"/>
        <v>rokwzgl=0 i lp=44000</v>
      </c>
      <c r="F42" s="13" t="str">
        <f t="shared" si="12"/>
        <v>rokwzgl=1 i lp=44000</v>
      </c>
      <c r="G42" s="13" t="str">
        <f t="shared" si="12"/>
        <v>rokwzgl=2 i lp=44000</v>
      </c>
      <c r="H42" s="13" t="str">
        <f t="shared" si="12"/>
        <v>rokwzgl=3 i lp=44000</v>
      </c>
      <c r="I42" s="13" t="str">
        <f t="shared" si="12"/>
        <v>rokwzgl=4 i lp=44000</v>
      </c>
      <c r="J42" s="13" t="str">
        <f t="shared" si="12"/>
        <v>rokwzgl=5 i lp=44000</v>
      </c>
      <c r="K42" s="13" t="str">
        <f t="shared" si="12"/>
        <v>rokwzgl=6 i lp=44000</v>
      </c>
      <c r="L42" s="13" t="str">
        <f t="shared" si="12"/>
        <v>rokwzgl=7 i lp=44000</v>
      </c>
      <c r="M42" s="13" t="str">
        <f t="shared" si="12"/>
        <v>rokwzgl=8 i lp=44000</v>
      </c>
      <c r="N42" s="13" t="str">
        <f t="shared" si="13"/>
        <v>rokwzgl=9 i lp=44000</v>
      </c>
      <c r="O42" s="13" t="str">
        <f t="shared" si="13"/>
        <v>rokwzgl=10 i lp=44000</v>
      </c>
      <c r="P42" s="13" t="str">
        <f t="shared" si="13"/>
        <v>rokwzgl=11 i lp=44000</v>
      </c>
      <c r="Q42" s="13" t="str">
        <f t="shared" si="13"/>
        <v>rokwzgl=12 i lp=44000</v>
      </c>
      <c r="R42" s="13" t="str">
        <f t="shared" si="13"/>
        <v>rokwzgl=13 i lp=44000</v>
      </c>
      <c r="S42" s="13" t="str">
        <f t="shared" si="13"/>
        <v>rokwzgl=14 i lp=44000</v>
      </c>
      <c r="T42" s="13" t="str">
        <f t="shared" si="13"/>
        <v>rokwzgl=15 i lp=44000</v>
      </c>
      <c r="U42" s="13" t="str">
        <f t="shared" si="13"/>
        <v>rokwzgl=16 i lp=44000</v>
      </c>
      <c r="V42" s="13" t="str">
        <f t="shared" si="13"/>
        <v>rokwzgl=17 i lp=44000</v>
      </c>
      <c r="W42" s="13" t="str">
        <f t="shared" si="13"/>
        <v>rokwzgl=18 i lp=44000</v>
      </c>
      <c r="X42" s="13" t="str">
        <f t="shared" si="15"/>
        <v>rokwzgl=19 i lp=44000</v>
      </c>
      <c r="Y42" s="13" t="str">
        <f t="shared" si="15"/>
        <v>rokwzgl=20 i lp=44000</v>
      </c>
      <c r="Z42" s="13" t="str">
        <f t="shared" si="15"/>
        <v>rokwzgl=21 i lp=44000</v>
      </c>
      <c r="AA42" s="13" t="str">
        <f t="shared" si="15"/>
        <v>rokwzgl=22 i lp=44000</v>
      </c>
      <c r="AB42" s="13" t="str">
        <f t="shared" si="15"/>
        <v>rokwzgl=23 i lp=44000</v>
      </c>
      <c r="AC42" s="13" t="str">
        <f t="shared" si="15"/>
        <v>rokwzgl=24 i lp=44000</v>
      </c>
      <c r="AD42" s="13" t="str">
        <f t="shared" si="15"/>
        <v>rokwzgl=25 i lp=44000</v>
      </c>
      <c r="AE42" s="13" t="str">
        <f t="shared" si="15"/>
        <v>rokwzgl=26 i lp=44000</v>
      </c>
      <c r="AF42" s="13" t="str">
        <f t="shared" si="15"/>
        <v>rokwzgl=27 i lp=44000</v>
      </c>
      <c r="AG42" s="13" t="str">
        <f t="shared" si="15"/>
        <v>rokwzgl=28 i lp=44000</v>
      </c>
      <c r="AH42" s="13" t="str">
        <f t="shared" si="15"/>
        <v>rokwzgl=29 i lp=44000</v>
      </c>
      <c r="AI42" s="13" t="str">
        <f t="shared" si="15"/>
        <v>rokwzgl=30 i lp=44000</v>
      </c>
      <c r="AJ42" s="13" t="str">
        <f t="shared" si="14"/>
        <v>rokwzgl=31 i lp=44000</v>
      </c>
      <c r="AK42" s="13" t="str">
        <f t="shared" si="14"/>
        <v>rokwzgl=32 i lp=44000</v>
      </c>
      <c r="AL42" s="13" t="str">
        <f t="shared" si="14"/>
        <v>rokwzgl=33 i lp=44000</v>
      </c>
      <c r="AM42" s="13" t="str">
        <f t="shared" si="14"/>
        <v>rokwzgl=34 i lp=44000</v>
      </c>
      <c r="AN42" s="13" t="str">
        <f t="shared" si="10"/>
        <v>rokwzgl=35 i lp=44000</v>
      </c>
      <c r="AO42" s="13" t="str">
        <f t="shared" si="10"/>
        <v>rokwzgl=36 i lp=44000</v>
      </c>
      <c r="AP42" s="13" t="str">
        <f t="shared" si="10"/>
        <v>rokwzgl=37 i lp=44000</v>
      </c>
      <c r="AQ42" s="13" t="str">
        <f t="shared" si="10"/>
        <v>rokwzgl=38 i lp=44000</v>
      </c>
      <c r="AR42" s="13" t="str">
        <f t="shared" si="10"/>
        <v>rokwzgl=39 i lp=44000</v>
      </c>
    </row>
    <row r="43" spans="1:44">
      <c r="A43" s="29">
        <v>44100</v>
      </c>
      <c r="B43" s="12" t="s">
        <v>41</v>
      </c>
      <c r="C43" s="13" t="s">
        <v>135</v>
      </c>
      <c r="D43" s="13" t="str">
        <f t="shared" si="12"/>
        <v>rokwzgl=0 i lp=44100</v>
      </c>
      <c r="E43" s="13" t="str">
        <f t="shared" si="12"/>
        <v>rokwzgl=0 i lp=44100</v>
      </c>
      <c r="F43" s="13" t="str">
        <f t="shared" si="12"/>
        <v>rokwzgl=1 i lp=44100</v>
      </c>
      <c r="G43" s="13" t="str">
        <f t="shared" si="12"/>
        <v>rokwzgl=2 i lp=44100</v>
      </c>
      <c r="H43" s="13" t="str">
        <f t="shared" si="12"/>
        <v>rokwzgl=3 i lp=44100</v>
      </c>
      <c r="I43" s="13" t="str">
        <f t="shared" si="12"/>
        <v>rokwzgl=4 i lp=44100</v>
      </c>
      <c r="J43" s="13" t="str">
        <f t="shared" si="12"/>
        <v>rokwzgl=5 i lp=44100</v>
      </c>
      <c r="K43" s="13" t="str">
        <f t="shared" si="12"/>
        <v>rokwzgl=6 i lp=44100</v>
      </c>
      <c r="L43" s="13" t="str">
        <f t="shared" si="12"/>
        <v>rokwzgl=7 i lp=44100</v>
      </c>
      <c r="M43" s="13" t="str">
        <f t="shared" si="12"/>
        <v>rokwzgl=8 i lp=44100</v>
      </c>
      <c r="N43" s="13" t="str">
        <f t="shared" si="13"/>
        <v>rokwzgl=9 i lp=44100</v>
      </c>
      <c r="O43" s="13" t="str">
        <f t="shared" si="13"/>
        <v>rokwzgl=10 i lp=44100</v>
      </c>
      <c r="P43" s="13" t="str">
        <f t="shared" si="13"/>
        <v>rokwzgl=11 i lp=44100</v>
      </c>
      <c r="Q43" s="13" t="str">
        <f t="shared" si="13"/>
        <v>rokwzgl=12 i lp=44100</v>
      </c>
      <c r="R43" s="13" t="str">
        <f t="shared" si="13"/>
        <v>rokwzgl=13 i lp=44100</v>
      </c>
      <c r="S43" s="13" t="str">
        <f t="shared" si="13"/>
        <v>rokwzgl=14 i lp=44100</v>
      </c>
      <c r="T43" s="13" t="str">
        <f t="shared" si="13"/>
        <v>rokwzgl=15 i lp=44100</v>
      </c>
      <c r="U43" s="13" t="str">
        <f t="shared" si="13"/>
        <v>rokwzgl=16 i lp=44100</v>
      </c>
      <c r="V43" s="13" t="str">
        <f t="shared" si="13"/>
        <v>rokwzgl=17 i lp=44100</v>
      </c>
      <c r="W43" s="13" t="str">
        <f t="shared" si="13"/>
        <v>rokwzgl=18 i lp=44100</v>
      </c>
      <c r="X43" s="13" t="str">
        <f t="shared" si="15"/>
        <v>rokwzgl=19 i lp=44100</v>
      </c>
      <c r="Y43" s="13" t="str">
        <f t="shared" si="15"/>
        <v>rokwzgl=20 i lp=44100</v>
      </c>
      <c r="Z43" s="13" t="str">
        <f t="shared" si="15"/>
        <v>rokwzgl=21 i lp=44100</v>
      </c>
      <c r="AA43" s="13" t="str">
        <f t="shared" si="15"/>
        <v>rokwzgl=22 i lp=44100</v>
      </c>
      <c r="AB43" s="13" t="str">
        <f t="shared" si="15"/>
        <v>rokwzgl=23 i lp=44100</v>
      </c>
      <c r="AC43" s="13" t="str">
        <f t="shared" si="15"/>
        <v>rokwzgl=24 i lp=44100</v>
      </c>
      <c r="AD43" s="13" t="str">
        <f t="shared" si="15"/>
        <v>rokwzgl=25 i lp=44100</v>
      </c>
      <c r="AE43" s="13" t="str">
        <f t="shared" si="15"/>
        <v>rokwzgl=26 i lp=44100</v>
      </c>
      <c r="AF43" s="13" t="str">
        <f t="shared" si="15"/>
        <v>rokwzgl=27 i lp=44100</v>
      </c>
      <c r="AG43" s="13" t="str">
        <f t="shared" si="15"/>
        <v>rokwzgl=28 i lp=44100</v>
      </c>
      <c r="AH43" s="13" t="str">
        <f t="shared" si="15"/>
        <v>rokwzgl=29 i lp=44100</v>
      </c>
      <c r="AI43" s="13" t="str">
        <f t="shared" si="15"/>
        <v>rokwzgl=30 i lp=44100</v>
      </c>
      <c r="AJ43" s="13" t="str">
        <f t="shared" si="14"/>
        <v>rokwzgl=31 i lp=44100</v>
      </c>
      <c r="AK43" s="13" t="str">
        <f t="shared" si="14"/>
        <v>rokwzgl=32 i lp=44100</v>
      </c>
      <c r="AL43" s="13" t="str">
        <f t="shared" si="14"/>
        <v>rokwzgl=33 i lp=44100</v>
      </c>
      <c r="AM43" s="13" t="str">
        <f t="shared" si="14"/>
        <v>rokwzgl=34 i lp=44100</v>
      </c>
      <c r="AN43" s="13" t="str">
        <f t="shared" si="10"/>
        <v>rokwzgl=35 i lp=44100</v>
      </c>
      <c r="AO43" s="13" t="str">
        <f t="shared" si="10"/>
        <v>rokwzgl=36 i lp=44100</v>
      </c>
      <c r="AP43" s="13" t="str">
        <f t="shared" si="10"/>
        <v>rokwzgl=37 i lp=44100</v>
      </c>
      <c r="AQ43" s="13" t="str">
        <f t="shared" si="10"/>
        <v>rokwzgl=38 i lp=44100</v>
      </c>
      <c r="AR43" s="13" t="str">
        <f t="shared" si="10"/>
        <v>rokwzgl=39 i lp=44100</v>
      </c>
    </row>
    <row r="44" spans="1:44">
      <c r="A44" s="29">
        <v>45000</v>
      </c>
      <c r="B44" s="12" t="s">
        <v>228</v>
      </c>
      <c r="C44" s="13" t="s">
        <v>138</v>
      </c>
      <c r="D44" s="13" t="str">
        <f t="shared" si="12"/>
        <v>rokwzgl=0 i lp=45000</v>
      </c>
      <c r="E44" s="13" t="str">
        <f t="shared" si="12"/>
        <v>rokwzgl=0 i lp=45000</v>
      </c>
      <c r="F44" s="13" t="str">
        <f t="shared" si="12"/>
        <v>rokwzgl=1 i lp=45000</v>
      </c>
      <c r="G44" s="13" t="str">
        <f t="shared" si="12"/>
        <v>rokwzgl=2 i lp=45000</v>
      </c>
      <c r="H44" s="13" t="str">
        <f t="shared" si="12"/>
        <v>rokwzgl=3 i lp=45000</v>
      </c>
      <c r="I44" s="13" t="str">
        <f t="shared" si="12"/>
        <v>rokwzgl=4 i lp=45000</v>
      </c>
      <c r="J44" s="13" t="str">
        <f t="shared" si="12"/>
        <v>rokwzgl=5 i lp=45000</v>
      </c>
      <c r="K44" s="13" t="str">
        <f t="shared" si="12"/>
        <v>rokwzgl=6 i lp=45000</v>
      </c>
      <c r="L44" s="13" t="str">
        <f t="shared" si="12"/>
        <v>rokwzgl=7 i lp=45000</v>
      </c>
      <c r="M44" s="13" t="str">
        <f t="shared" si="12"/>
        <v>rokwzgl=8 i lp=45000</v>
      </c>
      <c r="N44" s="13" t="str">
        <f t="shared" si="13"/>
        <v>rokwzgl=9 i lp=45000</v>
      </c>
      <c r="O44" s="13" t="str">
        <f t="shared" si="13"/>
        <v>rokwzgl=10 i lp=45000</v>
      </c>
      <c r="P44" s="13" t="str">
        <f t="shared" si="13"/>
        <v>rokwzgl=11 i lp=45000</v>
      </c>
      <c r="Q44" s="13" t="str">
        <f t="shared" si="13"/>
        <v>rokwzgl=12 i lp=45000</v>
      </c>
      <c r="R44" s="13" t="str">
        <f t="shared" si="13"/>
        <v>rokwzgl=13 i lp=45000</v>
      </c>
      <c r="S44" s="13" t="str">
        <f t="shared" si="13"/>
        <v>rokwzgl=14 i lp=45000</v>
      </c>
      <c r="T44" s="13" t="str">
        <f t="shared" si="13"/>
        <v>rokwzgl=15 i lp=45000</v>
      </c>
      <c r="U44" s="13" t="str">
        <f t="shared" si="13"/>
        <v>rokwzgl=16 i lp=45000</v>
      </c>
      <c r="V44" s="13" t="str">
        <f t="shared" si="13"/>
        <v>rokwzgl=17 i lp=45000</v>
      </c>
      <c r="W44" s="13" t="str">
        <f t="shared" si="13"/>
        <v>rokwzgl=18 i lp=45000</v>
      </c>
      <c r="X44" s="13" t="str">
        <f t="shared" si="15"/>
        <v>rokwzgl=19 i lp=45000</v>
      </c>
      <c r="Y44" s="13" t="str">
        <f t="shared" si="15"/>
        <v>rokwzgl=20 i lp=45000</v>
      </c>
      <c r="Z44" s="13" t="str">
        <f t="shared" si="15"/>
        <v>rokwzgl=21 i lp=45000</v>
      </c>
      <c r="AA44" s="13" t="str">
        <f t="shared" si="15"/>
        <v>rokwzgl=22 i lp=45000</v>
      </c>
      <c r="AB44" s="13" t="str">
        <f t="shared" si="15"/>
        <v>rokwzgl=23 i lp=45000</v>
      </c>
      <c r="AC44" s="13" t="str">
        <f t="shared" si="15"/>
        <v>rokwzgl=24 i lp=45000</v>
      </c>
      <c r="AD44" s="13" t="str">
        <f t="shared" si="15"/>
        <v>rokwzgl=25 i lp=45000</v>
      </c>
      <c r="AE44" s="13" t="str">
        <f t="shared" si="15"/>
        <v>rokwzgl=26 i lp=45000</v>
      </c>
      <c r="AF44" s="13" t="str">
        <f t="shared" si="15"/>
        <v>rokwzgl=27 i lp=45000</v>
      </c>
      <c r="AG44" s="13" t="str">
        <f t="shared" si="15"/>
        <v>rokwzgl=28 i lp=45000</v>
      </c>
      <c r="AH44" s="13" t="str">
        <f t="shared" si="15"/>
        <v>rokwzgl=29 i lp=45000</v>
      </c>
      <c r="AI44" s="13" t="str">
        <f t="shared" si="15"/>
        <v>rokwzgl=30 i lp=45000</v>
      </c>
      <c r="AJ44" s="13" t="str">
        <f t="shared" si="14"/>
        <v>rokwzgl=31 i lp=45000</v>
      </c>
      <c r="AK44" s="13" t="str">
        <f t="shared" si="14"/>
        <v>rokwzgl=32 i lp=45000</v>
      </c>
      <c r="AL44" s="13" t="str">
        <f t="shared" si="14"/>
        <v>rokwzgl=33 i lp=45000</v>
      </c>
      <c r="AM44" s="13" t="str">
        <f t="shared" si="14"/>
        <v>rokwzgl=34 i lp=45000</v>
      </c>
      <c r="AN44" s="13" t="str">
        <f t="shared" si="10"/>
        <v>rokwzgl=35 i lp=45000</v>
      </c>
      <c r="AO44" s="13" t="str">
        <f t="shared" si="10"/>
        <v>rokwzgl=36 i lp=45000</v>
      </c>
      <c r="AP44" s="13" t="str">
        <f t="shared" si="10"/>
        <v>rokwzgl=37 i lp=45000</v>
      </c>
      <c r="AQ44" s="13" t="str">
        <f t="shared" si="10"/>
        <v>rokwzgl=38 i lp=45000</v>
      </c>
      <c r="AR44" s="13" t="str">
        <f t="shared" si="10"/>
        <v>rokwzgl=39 i lp=45000</v>
      </c>
    </row>
    <row r="45" spans="1:44">
      <c r="A45" s="29">
        <v>45100</v>
      </c>
      <c r="B45" s="12" t="s">
        <v>201</v>
      </c>
      <c r="C45" s="13" t="s">
        <v>135</v>
      </c>
      <c r="D45" s="13" t="str">
        <f t="shared" si="12"/>
        <v>rokwzgl=0 i lp=45100</v>
      </c>
      <c r="E45" s="13" t="str">
        <f t="shared" si="12"/>
        <v>rokwzgl=0 i lp=45100</v>
      </c>
      <c r="F45" s="13" t="str">
        <f t="shared" si="12"/>
        <v>rokwzgl=1 i lp=45100</v>
      </c>
      <c r="G45" s="13" t="str">
        <f t="shared" si="12"/>
        <v>rokwzgl=2 i lp=45100</v>
      </c>
      <c r="H45" s="13" t="str">
        <f t="shared" si="12"/>
        <v>rokwzgl=3 i lp=45100</v>
      </c>
      <c r="I45" s="13" t="str">
        <f t="shared" si="12"/>
        <v>rokwzgl=4 i lp=45100</v>
      </c>
      <c r="J45" s="13" t="str">
        <f t="shared" si="12"/>
        <v>rokwzgl=5 i lp=45100</v>
      </c>
      <c r="K45" s="13" t="str">
        <f t="shared" si="12"/>
        <v>rokwzgl=6 i lp=45100</v>
      </c>
      <c r="L45" s="13" t="str">
        <f t="shared" si="12"/>
        <v>rokwzgl=7 i lp=45100</v>
      </c>
      <c r="M45" s="13" t="str">
        <f t="shared" si="12"/>
        <v>rokwzgl=8 i lp=45100</v>
      </c>
      <c r="N45" s="13" t="str">
        <f t="shared" si="13"/>
        <v>rokwzgl=9 i lp=45100</v>
      </c>
      <c r="O45" s="13" t="str">
        <f t="shared" si="13"/>
        <v>rokwzgl=10 i lp=45100</v>
      </c>
      <c r="P45" s="13" t="str">
        <f t="shared" si="13"/>
        <v>rokwzgl=11 i lp=45100</v>
      </c>
      <c r="Q45" s="13" t="str">
        <f t="shared" si="13"/>
        <v>rokwzgl=12 i lp=45100</v>
      </c>
      <c r="R45" s="13" t="str">
        <f t="shared" si="13"/>
        <v>rokwzgl=13 i lp=45100</v>
      </c>
      <c r="S45" s="13" t="str">
        <f t="shared" si="13"/>
        <v>rokwzgl=14 i lp=45100</v>
      </c>
      <c r="T45" s="13" t="str">
        <f t="shared" si="13"/>
        <v>rokwzgl=15 i lp=45100</v>
      </c>
      <c r="U45" s="13" t="str">
        <f t="shared" si="13"/>
        <v>rokwzgl=16 i lp=45100</v>
      </c>
      <c r="V45" s="13" t="str">
        <f t="shared" si="13"/>
        <v>rokwzgl=17 i lp=45100</v>
      </c>
      <c r="W45" s="13" t="str">
        <f t="shared" si="13"/>
        <v>rokwzgl=18 i lp=45100</v>
      </c>
      <c r="X45" s="13" t="str">
        <f t="shared" si="15"/>
        <v>rokwzgl=19 i lp=45100</v>
      </c>
      <c r="Y45" s="13" t="str">
        <f t="shared" si="15"/>
        <v>rokwzgl=20 i lp=45100</v>
      </c>
      <c r="Z45" s="13" t="str">
        <f t="shared" si="15"/>
        <v>rokwzgl=21 i lp=45100</v>
      </c>
      <c r="AA45" s="13" t="str">
        <f t="shared" si="15"/>
        <v>rokwzgl=22 i lp=45100</v>
      </c>
      <c r="AB45" s="13" t="str">
        <f t="shared" si="15"/>
        <v>rokwzgl=23 i lp=45100</v>
      </c>
      <c r="AC45" s="13" t="str">
        <f t="shared" si="15"/>
        <v>rokwzgl=24 i lp=45100</v>
      </c>
      <c r="AD45" s="13" t="str">
        <f t="shared" si="15"/>
        <v>rokwzgl=25 i lp=45100</v>
      </c>
      <c r="AE45" s="13" t="str">
        <f t="shared" si="15"/>
        <v>rokwzgl=26 i lp=45100</v>
      </c>
      <c r="AF45" s="13" t="str">
        <f t="shared" si="15"/>
        <v>rokwzgl=27 i lp=45100</v>
      </c>
      <c r="AG45" s="13" t="str">
        <f t="shared" si="15"/>
        <v>rokwzgl=28 i lp=45100</v>
      </c>
      <c r="AH45" s="13" t="str">
        <f t="shared" si="15"/>
        <v>rokwzgl=29 i lp=45100</v>
      </c>
      <c r="AI45" s="13" t="str">
        <f t="shared" si="15"/>
        <v>rokwzgl=30 i lp=45100</v>
      </c>
      <c r="AJ45" s="13" t="str">
        <f t="shared" si="14"/>
        <v>rokwzgl=31 i lp=45100</v>
      </c>
      <c r="AK45" s="13" t="str">
        <f t="shared" si="14"/>
        <v>rokwzgl=32 i lp=45100</v>
      </c>
      <c r="AL45" s="13" t="str">
        <f t="shared" si="14"/>
        <v>rokwzgl=33 i lp=45100</v>
      </c>
      <c r="AM45" s="13" t="str">
        <f t="shared" si="14"/>
        <v>rokwzgl=34 i lp=45100</v>
      </c>
      <c r="AN45" s="13" t="str">
        <f t="shared" si="10"/>
        <v>rokwzgl=35 i lp=45100</v>
      </c>
      <c r="AO45" s="13" t="str">
        <f t="shared" si="10"/>
        <v>rokwzgl=36 i lp=45100</v>
      </c>
      <c r="AP45" s="13" t="str">
        <f t="shared" si="10"/>
        <v>rokwzgl=37 i lp=45100</v>
      </c>
      <c r="AQ45" s="13" t="str">
        <f t="shared" si="10"/>
        <v>rokwzgl=38 i lp=45100</v>
      </c>
      <c r="AR45" s="13" t="str">
        <f t="shared" si="10"/>
        <v>rokwzgl=39 i lp=45100</v>
      </c>
    </row>
    <row r="46" spans="1:44">
      <c r="A46" s="29">
        <v>50000</v>
      </c>
      <c r="B46" s="12">
        <v>5</v>
      </c>
      <c r="C46" s="13" t="s">
        <v>42</v>
      </c>
      <c r="D46" s="13" t="str">
        <f t="shared" ref="D46:M55" si="16">+"rokwzgl="&amp;D$9&amp;" i lp="&amp;$A46</f>
        <v>rokwzgl=0 i lp=50000</v>
      </c>
      <c r="E46" s="13" t="str">
        <f t="shared" si="16"/>
        <v>rokwzgl=0 i lp=50000</v>
      </c>
      <c r="F46" s="13" t="str">
        <f t="shared" si="16"/>
        <v>rokwzgl=1 i lp=50000</v>
      </c>
      <c r="G46" s="13" t="str">
        <f t="shared" si="16"/>
        <v>rokwzgl=2 i lp=50000</v>
      </c>
      <c r="H46" s="13" t="str">
        <f t="shared" si="16"/>
        <v>rokwzgl=3 i lp=50000</v>
      </c>
      <c r="I46" s="13" t="str">
        <f t="shared" si="16"/>
        <v>rokwzgl=4 i lp=50000</v>
      </c>
      <c r="J46" s="13" t="str">
        <f t="shared" si="16"/>
        <v>rokwzgl=5 i lp=50000</v>
      </c>
      <c r="K46" s="13" t="str">
        <f t="shared" si="16"/>
        <v>rokwzgl=6 i lp=50000</v>
      </c>
      <c r="L46" s="13" t="str">
        <f t="shared" si="16"/>
        <v>rokwzgl=7 i lp=50000</v>
      </c>
      <c r="M46" s="13" t="str">
        <f t="shared" si="16"/>
        <v>rokwzgl=8 i lp=50000</v>
      </c>
      <c r="N46" s="13" t="str">
        <f t="shared" ref="N46:W55" si="17">+"rokwzgl="&amp;N$9&amp;" i lp="&amp;$A46</f>
        <v>rokwzgl=9 i lp=50000</v>
      </c>
      <c r="O46" s="13" t="str">
        <f t="shared" si="17"/>
        <v>rokwzgl=10 i lp=50000</v>
      </c>
      <c r="P46" s="13" t="str">
        <f t="shared" si="17"/>
        <v>rokwzgl=11 i lp=50000</v>
      </c>
      <c r="Q46" s="13" t="str">
        <f t="shared" si="17"/>
        <v>rokwzgl=12 i lp=50000</v>
      </c>
      <c r="R46" s="13" t="str">
        <f t="shared" si="17"/>
        <v>rokwzgl=13 i lp=50000</v>
      </c>
      <c r="S46" s="13" t="str">
        <f t="shared" si="17"/>
        <v>rokwzgl=14 i lp=50000</v>
      </c>
      <c r="T46" s="13" t="str">
        <f t="shared" si="17"/>
        <v>rokwzgl=15 i lp=50000</v>
      </c>
      <c r="U46" s="13" t="str">
        <f t="shared" si="17"/>
        <v>rokwzgl=16 i lp=50000</v>
      </c>
      <c r="V46" s="13" t="str">
        <f t="shared" si="17"/>
        <v>rokwzgl=17 i lp=50000</v>
      </c>
      <c r="W46" s="13" t="str">
        <f t="shared" si="17"/>
        <v>rokwzgl=18 i lp=50000</v>
      </c>
      <c r="X46" s="13" t="str">
        <f t="shared" si="15"/>
        <v>rokwzgl=19 i lp=50000</v>
      </c>
      <c r="Y46" s="13" t="str">
        <f t="shared" si="15"/>
        <v>rokwzgl=20 i lp=50000</v>
      </c>
      <c r="Z46" s="13" t="str">
        <f t="shared" si="15"/>
        <v>rokwzgl=21 i lp=50000</v>
      </c>
      <c r="AA46" s="13" t="str">
        <f t="shared" si="15"/>
        <v>rokwzgl=22 i lp=50000</v>
      </c>
      <c r="AB46" s="13" t="str">
        <f t="shared" si="15"/>
        <v>rokwzgl=23 i lp=50000</v>
      </c>
      <c r="AC46" s="13" t="str">
        <f t="shared" si="15"/>
        <v>rokwzgl=24 i lp=50000</v>
      </c>
      <c r="AD46" s="13" t="str">
        <f t="shared" si="15"/>
        <v>rokwzgl=25 i lp=50000</v>
      </c>
      <c r="AE46" s="13" t="str">
        <f t="shared" si="15"/>
        <v>rokwzgl=26 i lp=50000</v>
      </c>
      <c r="AF46" s="13" t="str">
        <f t="shared" si="15"/>
        <v>rokwzgl=27 i lp=50000</v>
      </c>
      <c r="AG46" s="13" t="str">
        <f t="shared" si="15"/>
        <v>rokwzgl=28 i lp=50000</v>
      </c>
      <c r="AH46" s="13" t="str">
        <f t="shared" si="15"/>
        <v>rokwzgl=29 i lp=50000</v>
      </c>
      <c r="AI46" s="13" t="str">
        <f t="shared" si="15"/>
        <v>rokwzgl=30 i lp=50000</v>
      </c>
      <c r="AJ46" s="13" t="str">
        <f t="shared" si="14"/>
        <v>rokwzgl=31 i lp=50000</v>
      </c>
      <c r="AK46" s="13" t="str">
        <f t="shared" si="14"/>
        <v>rokwzgl=32 i lp=50000</v>
      </c>
      <c r="AL46" s="13" t="str">
        <f t="shared" si="14"/>
        <v>rokwzgl=33 i lp=50000</v>
      </c>
      <c r="AM46" s="13" t="str">
        <f t="shared" si="14"/>
        <v>rokwzgl=34 i lp=50000</v>
      </c>
      <c r="AN46" s="13" t="str">
        <f t="shared" si="10"/>
        <v>rokwzgl=35 i lp=50000</v>
      </c>
      <c r="AO46" s="13" t="str">
        <f t="shared" si="10"/>
        <v>rokwzgl=36 i lp=50000</v>
      </c>
      <c r="AP46" s="13" t="str">
        <f t="shared" si="10"/>
        <v>rokwzgl=37 i lp=50000</v>
      </c>
      <c r="AQ46" s="13" t="str">
        <f t="shared" si="10"/>
        <v>rokwzgl=38 i lp=50000</v>
      </c>
      <c r="AR46" s="13" t="str">
        <f t="shared" si="10"/>
        <v>rokwzgl=39 i lp=50000</v>
      </c>
    </row>
    <row r="47" spans="1:44">
      <c r="A47" s="29">
        <v>51000</v>
      </c>
      <c r="B47" s="12" t="s">
        <v>54</v>
      </c>
      <c r="C47" s="13" t="s">
        <v>139</v>
      </c>
      <c r="D47" s="13" t="str">
        <f t="shared" si="16"/>
        <v>rokwzgl=0 i lp=51000</v>
      </c>
      <c r="E47" s="13" t="str">
        <f t="shared" si="16"/>
        <v>rokwzgl=0 i lp=51000</v>
      </c>
      <c r="F47" s="13" t="str">
        <f t="shared" si="16"/>
        <v>rokwzgl=1 i lp=51000</v>
      </c>
      <c r="G47" s="13" t="str">
        <f t="shared" si="16"/>
        <v>rokwzgl=2 i lp=51000</v>
      </c>
      <c r="H47" s="13" t="str">
        <f t="shared" si="16"/>
        <v>rokwzgl=3 i lp=51000</v>
      </c>
      <c r="I47" s="13" t="str">
        <f t="shared" si="16"/>
        <v>rokwzgl=4 i lp=51000</v>
      </c>
      <c r="J47" s="13" t="str">
        <f t="shared" si="16"/>
        <v>rokwzgl=5 i lp=51000</v>
      </c>
      <c r="K47" s="13" t="str">
        <f t="shared" si="16"/>
        <v>rokwzgl=6 i lp=51000</v>
      </c>
      <c r="L47" s="13" t="str">
        <f t="shared" si="16"/>
        <v>rokwzgl=7 i lp=51000</v>
      </c>
      <c r="M47" s="13" t="str">
        <f t="shared" si="16"/>
        <v>rokwzgl=8 i lp=51000</v>
      </c>
      <c r="N47" s="13" t="str">
        <f t="shared" si="17"/>
        <v>rokwzgl=9 i lp=51000</v>
      </c>
      <c r="O47" s="13" t="str">
        <f t="shared" si="17"/>
        <v>rokwzgl=10 i lp=51000</v>
      </c>
      <c r="P47" s="13" t="str">
        <f t="shared" si="17"/>
        <v>rokwzgl=11 i lp=51000</v>
      </c>
      <c r="Q47" s="13" t="str">
        <f t="shared" si="17"/>
        <v>rokwzgl=12 i lp=51000</v>
      </c>
      <c r="R47" s="13" t="str">
        <f t="shared" si="17"/>
        <v>rokwzgl=13 i lp=51000</v>
      </c>
      <c r="S47" s="13" t="str">
        <f t="shared" si="17"/>
        <v>rokwzgl=14 i lp=51000</v>
      </c>
      <c r="T47" s="13" t="str">
        <f t="shared" si="17"/>
        <v>rokwzgl=15 i lp=51000</v>
      </c>
      <c r="U47" s="13" t="str">
        <f t="shared" si="17"/>
        <v>rokwzgl=16 i lp=51000</v>
      </c>
      <c r="V47" s="13" t="str">
        <f t="shared" si="17"/>
        <v>rokwzgl=17 i lp=51000</v>
      </c>
      <c r="W47" s="13" t="str">
        <f t="shared" si="17"/>
        <v>rokwzgl=18 i lp=51000</v>
      </c>
      <c r="X47" s="13" t="str">
        <f t="shared" si="15"/>
        <v>rokwzgl=19 i lp=51000</v>
      </c>
      <c r="Y47" s="13" t="str">
        <f t="shared" si="15"/>
        <v>rokwzgl=20 i lp=51000</v>
      </c>
      <c r="Z47" s="13" t="str">
        <f t="shared" si="15"/>
        <v>rokwzgl=21 i lp=51000</v>
      </c>
      <c r="AA47" s="13" t="str">
        <f t="shared" si="15"/>
        <v>rokwzgl=22 i lp=51000</v>
      </c>
      <c r="AB47" s="13" t="str">
        <f t="shared" si="15"/>
        <v>rokwzgl=23 i lp=51000</v>
      </c>
      <c r="AC47" s="13" t="str">
        <f t="shared" si="15"/>
        <v>rokwzgl=24 i lp=51000</v>
      </c>
      <c r="AD47" s="13" t="str">
        <f t="shared" si="15"/>
        <v>rokwzgl=25 i lp=51000</v>
      </c>
      <c r="AE47" s="13" t="str">
        <f t="shared" si="15"/>
        <v>rokwzgl=26 i lp=51000</v>
      </c>
      <c r="AF47" s="13" t="str">
        <f t="shared" si="15"/>
        <v>rokwzgl=27 i lp=51000</v>
      </c>
      <c r="AG47" s="13" t="str">
        <f t="shared" si="15"/>
        <v>rokwzgl=28 i lp=51000</v>
      </c>
      <c r="AH47" s="13" t="str">
        <f t="shared" si="15"/>
        <v>rokwzgl=29 i lp=51000</v>
      </c>
      <c r="AI47" s="13" t="str">
        <f t="shared" si="15"/>
        <v>rokwzgl=30 i lp=51000</v>
      </c>
      <c r="AJ47" s="13" t="str">
        <f t="shared" si="14"/>
        <v>rokwzgl=31 i lp=51000</v>
      </c>
      <c r="AK47" s="13" t="str">
        <f t="shared" si="14"/>
        <v>rokwzgl=32 i lp=51000</v>
      </c>
      <c r="AL47" s="13" t="str">
        <f t="shared" si="14"/>
        <v>rokwzgl=33 i lp=51000</v>
      </c>
      <c r="AM47" s="13" t="str">
        <f t="shared" si="14"/>
        <v>rokwzgl=34 i lp=51000</v>
      </c>
      <c r="AN47" s="13" t="str">
        <f t="shared" si="10"/>
        <v>rokwzgl=35 i lp=51000</v>
      </c>
      <c r="AO47" s="13" t="str">
        <f t="shared" si="10"/>
        <v>rokwzgl=36 i lp=51000</v>
      </c>
      <c r="AP47" s="13" t="str">
        <f t="shared" si="10"/>
        <v>rokwzgl=37 i lp=51000</v>
      </c>
      <c r="AQ47" s="13" t="str">
        <f t="shared" si="10"/>
        <v>rokwzgl=38 i lp=51000</v>
      </c>
      <c r="AR47" s="13" t="str">
        <f t="shared" si="10"/>
        <v>rokwzgl=39 i lp=51000</v>
      </c>
    </row>
    <row r="48" spans="1:44">
      <c r="A48" s="29">
        <v>51100</v>
      </c>
      <c r="B48" s="12" t="s">
        <v>43</v>
      </c>
      <c r="C48" s="13" t="s">
        <v>140</v>
      </c>
      <c r="D48" s="13" t="str">
        <f t="shared" si="16"/>
        <v>rokwzgl=0 i lp=51100</v>
      </c>
      <c r="E48" s="13" t="str">
        <f t="shared" si="16"/>
        <v>rokwzgl=0 i lp=51100</v>
      </c>
      <c r="F48" s="13" t="str">
        <f t="shared" si="16"/>
        <v>rokwzgl=1 i lp=51100</v>
      </c>
      <c r="G48" s="13" t="str">
        <f t="shared" si="16"/>
        <v>rokwzgl=2 i lp=51100</v>
      </c>
      <c r="H48" s="13" t="str">
        <f t="shared" si="16"/>
        <v>rokwzgl=3 i lp=51100</v>
      </c>
      <c r="I48" s="13" t="str">
        <f t="shared" si="16"/>
        <v>rokwzgl=4 i lp=51100</v>
      </c>
      <c r="J48" s="13" t="str">
        <f t="shared" si="16"/>
        <v>rokwzgl=5 i lp=51100</v>
      </c>
      <c r="K48" s="13" t="str">
        <f t="shared" si="16"/>
        <v>rokwzgl=6 i lp=51100</v>
      </c>
      <c r="L48" s="13" t="str">
        <f t="shared" si="16"/>
        <v>rokwzgl=7 i lp=51100</v>
      </c>
      <c r="M48" s="13" t="str">
        <f t="shared" si="16"/>
        <v>rokwzgl=8 i lp=51100</v>
      </c>
      <c r="N48" s="13" t="str">
        <f t="shared" si="17"/>
        <v>rokwzgl=9 i lp=51100</v>
      </c>
      <c r="O48" s="13" t="str">
        <f t="shared" si="17"/>
        <v>rokwzgl=10 i lp=51100</v>
      </c>
      <c r="P48" s="13" t="str">
        <f t="shared" si="17"/>
        <v>rokwzgl=11 i lp=51100</v>
      </c>
      <c r="Q48" s="13" t="str">
        <f t="shared" si="17"/>
        <v>rokwzgl=12 i lp=51100</v>
      </c>
      <c r="R48" s="13" t="str">
        <f t="shared" si="17"/>
        <v>rokwzgl=13 i lp=51100</v>
      </c>
      <c r="S48" s="13" t="str">
        <f t="shared" si="17"/>
        <v>rokwzgl=14 i lp=51100</v>
      </c>
      <c r="T48" s="13" t="str">
        <f t="shared" si="17"/>
        <v>rokwzgl=15 i lp=51100</v>
      </c>
      <c r="U48" s="13" t="str">
        <f t="shared" si="17"/>
        <v>rokwzgl=16 i lp=51100</v>
      </c>
      <c r="V48" s="13" t="str">
        <f t="shared" si="17"/>
        <v>rokwzgl=17 i lp=51100</v>
      </c>
      <c r="W48" s="13" t="str">
        <f t="shared" si="17"/>
        <v>rokwzgl=18 i lp=51100</v>
      </c>
      <c r="X48" s="13" t="str">
        <f t="shared" si="15"/>
        <v>rokwzgl=19 i lp=51100</v>
      </c>
      <c r="Y48" s="13" t="str">
        <f t="shared" si="15"/>
        <v>rokwzgl=20 i lp=51100</v>
      </c>
      <c r="Z48" s="13" t="str">
        <f t="shared" si="15"/>
        <v>rokwzgl=21 i lp=51100</v>
      </c>
      <c r="AA48" s="13" t="str">
        <f t="shared" si="15"/>
        <v>rokwzgl=22 i lp=51100</v>
      </c>
      <c r="AB48" s="13" t="str">
        <f t="shared" si="15"/>
        <v>rokwzgl=23 i lp=51100</v>
      </c>
      <c r="AC48" s="13" t="str">
        <f t="shared" si="15"/>
        <v>rokwzgl=24 i lp=51100</v>
      </c>
      <c r="AD48" s="13" t="str">
        <f t="shared" si="15"/>
        <v>rokwzgl=25 i lp=51100</v>
      </c>
      <c r="AE48" s="13" t="str">
        <f t="shared" si="15"/>
        <v>rokwzgl=26 i lp=51100</v>
      </c>
      <c r="AF48" s="13" t="str">
        <f t="shared" si="15"/>
        <v>rokwzgl=27 i lp=51100</v>
      </c>
      <c r="AG48" s="13" t="str">
        <f t="shared" si="15"/>
        <v>rokwzgl=28 i lp=51100</v>
      </c>
      <c r="AH48" s="13" t="str">
        <f t="shared" si="15"/>
        <v>rokwzgl=29 i lp=51100</v>
      </c>
      <c r="AI48" s="13" t="str">
        <f t="shared" si="15"/>
        <v>rokwzgl=30 i lp=51100</v>
      </c>
      <c r="AJ48" s="13" t="str">
        <f t="shared" si="14"/>
        <v>rokwzgl=31 i lp=51100</v>
      </c>
      <c r="AK48" s="13" t="str">
        <f t="shared" si="14"/>
        <v>rokwzgl=32 i lp=51100</v>
      </c>
      <c r="AL48" s="13" t="str">
        <f t="shared" si="14"/>
        <v>rokwzgl=33 i lp=51100</v>
      </c>
      <c r="AM48" s="13" t="str">
        <f t="shared" si="14"/>
        <v>rokwzgl=34 i lp=51100</v>
      </c>
      <c r="AN48" s="13" t="str">
        <f t="shared" si="10"/>
        <v>rokwzgl=35 i lp=51100</v>
      </c>
      <c r="AO48" s="13" t="str">
        <f t="shared" si="10"/>
        <v>rokwzgl=36 i lp=51100</v>
      </c>
      <c r="AP48" s="13" t="str">
        <f t="shared" si="10"/>
        <v>rokwzgl=37 i lp=51100</v>
      </c>
      <c r="AQ48" s="13" t="str">
        <f t="shared" si="10"/>
        <v>rokwzgl=38 i lp=51100</v>
      </c>
      <c r="AR48" s="13" t="str">
        <f t="shared" si="10"/>
        <v>rokwzgl=39 i lp=51100</v>
      </c>
    </row>
    <row r="49" spans="1:44">
      <c r="A49" s="29">
        <v>51111</v>
      </c>
      <c r="B49" s="12" t="s">
        <v>44</v>
      </c>
      <c r="C49" s="13" t="s">
        <v>141</v>
      </c>
      <c r="D49" s="13" t="str">
        <f t="shared" si="16"/>
        <v>rokwzgl=0 i lp=51111</v>
      </c>
      <c r="E49" s="13" t="str">
        <f t="shared" si="16"/>
        <v>rokwzgl=0 i lp=51111</v>
      </c>
      <c r="F49" s="13" t="str">
        <f t="shared" si="16"/>
        <v>rokwzgl=1 i lp=51111</v>
      </c>
      <c r="G49" s="13" t="str">
        <f t="shared" si="16"/>
        <v>rokwzgl=2 i lp=51111</v>
      </c>
      <c r="H49" s="13" t="str">
        <f t="shared" si="16"/>
        <v>rokwzgl=3 i lp=51111</v>
      </c>
      <c r="I49" s="13" t="str">
        <f t="shared" si="16"/>
        <v>rokwzgl=4 i lp=51111</v>
      </c>
      <c r="J49" s="13" t="str">
        <f t="shared" si="16"/>
        <v>rokwzgl=5 i lp=51111</v>
      </c>
      <c r="K49" s="13" t="str">
        <f t="shared" si="16"/>
        <v>rokwzgl=6 i lp=51111</v>
      </c>
      <c r="L49" s="13" t="str">
        <f t="shared" si="16"/>
        <v>rokwzgl=7 i lp=51111</v>
      </c>
      <c r="M49" s="13" t="str">
        <f t="shared" si="16"/>
        <v>rokwzgl=8 i lp=51111</v>
      </c>
      <c r="N49" s="13" t="str">
        <f t="shared" si="17"/>
        <v>rokwzgl=9 i lp=51111</v>
      </c>
      <c r="O49" s="13" t="str">
        <f t="shared" si="17"/>
        <v>rokwzgl=10 i lp=51111</v>
      </c>
      <c r="P49" s="13" t="str">
        <f t="shared" si="17"/>
        <v>rokwzgl=11 i lp=51111</v>
      </c>
      <c r="Q49" s="13" t="str">
        <f t="shared" si="17"/>
        <v>rokwzgl=12 i lp=51111</v>
      </c>
      <c r="R49" s="13" t="str">
        <f t="shared" si="17"/>
        <v>rokwzgl=13 i lp=51111</v>
      </c>
      <c r="S49" s="13" t="str">
        <f t="shared" si="17"/>
        <v>rokwzgl=14 i lp=51111</v>
      </c>
      <c r="T49" s="13" t="str">
        <f t="shared" si="17"/>
        <v>rokwzgl=15 i lp=51111</v>
      </c>
      <c r="U49" s="13" t="str">
        <f t="shared" si="17"/>
        <v>rokwzgl=16 i lp=51111</v>
      </c>
      <c r="V49" s="13" t="str">
        <f t="shared" si="17"/>
        <v>rokwzgl=17 i lp=51111</v>
      </c>
      <c r="W49" s="13" t="str">
        <f t="shared" si="17"/>
        <v>rokwzgl=18 i lp=51111</v>
      </c>
      <c r="X49" s="13" t="str">
        <f t="shared" si="15"/>
        <v>rokwzgl=19 i lp=51111</v>
      </c>
      <c r="Y49" s="13" t="str">
        <f t="shared" si="15"/>
        <v>rokwzgl=20 i lp=51111</v>
      </c>
      <c r="Z49" s="13" t="str">
        <f t="shared" si="15"/>
        <v>rokwzgl=21 i lp=51111</v>
      </c>
      <c r="AA49" s="13" t="str">
        <f t="shared" si="15"/>
        <v>rokwzgl=22 i lp=51111</v>
      </c>
      <c r="AB49" s="13" t="str">
        <f t="shared" si="15"/>
        <v>rokwzgl=23 i lp=51111</v>
      </c>
      <c r="AC49" s="13" t="str">
        <f t="shared" si="15"/>
        <v>rokwzgl=24 i lp=51111</v>
      </c>
      <c r="AD49" s="13" t="str">
        <f t="shared" si="15"/>
        <v>rokwzgl=25 i lp=51111</v>
      </c>
      <c r="AE49" s="13" t="str">
        <f t="shared" si="15"/>
        <v>rokwzgl=26 i lp=51111</v>
      </c>
      <c r="AF49" s="13" t="str">
        <f t="shared" si="15"/>
        <v>rokwzgl=27 i lp=51111</v>
      </c>
      <c r="AG49" s="13" t="str">
        <f t="shared" si="15"/>
        <v>rokwzgl=28 i lp=51111</v>
      </c>
      <c r="AH49" s="13" t="str">
        <f t="shared" si="15"/>
        <v>rokwzgl=29 i lp=51111</v>
      </c>
      <c r="AI49" s="13" t="str">
        <f t="shared" si="15"/>
        <v>rokwzgl=30 i lp=51111</v>
      </c>
      <c r="AJ49" s="13" t="str">
        <f t="shared" si="14"/>
        <v>rokwzgl=31 i lp=51111</v>
      </c>
      <c r="AK49" s="13" t="str">
        <f t="shared" si="14"/>
        <v>rokwzgl=32 i lp=51111</v>
      </c>
      <c r="AL49" s="13" t="str">
        <f t="shared" si="14"/>
        <v>rokwzgl=33 i lp=51111</v>
      </c>
      <c r="AM49" s="13" t="str">
        <f t="shared" si="14"/>
        <v>rokwzgl=34 i lp=51111</v>
      </c>
      <c r="AN49" s="13" t="str">
        <f t="shared" si="10"/>
        <v>rokwzgl=35 i lp=51111</v>
      </c>
      <c r="AO49" s="13" t="str">
        <f t="shared" si="10"/>
        <v>rokwzgl=36 i lp=51111</v>
      </c>
      <c r="AP49" s="13" t="str">
        <f t="shared" si="10"/>
        <v>rokwzgl=37 i lp=51111</v>
      </c>
      <c r="AQ49" s="13" t="str">
        <f t="shared" si="10"/>
        <v>rokwzgl=38 i lp=51111</v>
      </c>
      <c r="AR49" s="13" t="str">
        <f t="shared" si="10"/>
        <v>rokwzgl=39 i lp=51111</v>
      </c>
    </row>
    <row r="50" spans="1:44">
      <c r="A50" s="29">
        <v>51120</v>
      </c>
      <c r="B50" s="12" t="s">
        <v>100</v>
      </c>
      <c r="C50" s="13" t="s">
        <v>142</v>
      </c>
      <c r="D50" s="13" t="str">
        <f t="shared" si="16"/>
        <v>rokwzgl=0 i lp=51120</v>
      </c>
      <c r="E50" s="13" t="str">
        <f t="shared" si="16"/>
        <v>rokwzgl=0 i lp=51120</v>
      </c>
      <c r="F50" s="13" t="str">
        <f t="shared" si="16"/>
        <v>rokwzgl=1 i lp=51120</v>
      </c>
      <c r="G50" s="13" t="str">
        <f t="shared" si="16"/>
        <v>rokwzgl=2 i lp=51120</v>
      </c>
      <c r="H50" s="13" t="str">
        <f t="shared" si="16"/>
        <v>rokwzgl=3 i lp=51120</v>
      </c>
      <c r="I50" s="13" t="str">
        <f t="shared" si="16"/>
        <v>rokwzgl=4 i lp=51120</v>
      </c>
      <c r="J50" s="13" t="str">
        <f t="shared" si="16"/>
        <v>rokwzgl=5 i lp=51120</v>
      </c>
      <c r="K50" s="13" t="str">
        <f t="shared" si="16"/>
        <v>rokwzgl=6 i lp=51120</v>
      </c>
      <c r="L50" s="13" t="str">
        <f t="shared" si="16"/>
        <v>rokwzgl=7 i lp=51120</v>
      </c>
      <c r="M50" s="13" t="str">
        <f t="shared" si="16"/>
        <v>rokwzgl=8 i lp=51120</v>
      </c>
      <c r="N50" s="13" t="str">
        <f t="shared" si="17"/>
        <v>rokwzgl=9 i lp=51120</v>
      </c>
      <c r="O50" s="13" t="str">
        <f t="shared" si="17"/>
        <v>rokwzgl=10 i lp=51120</v>
      </c>
      <c r="P50" s="13" t="str">
        <f t="shared" si="17"/>
        <v>rokwzgl=11 i lp=51120</v>
      </c>
      <c r="Q50" s="13" t="str">
        <f t="shared" si="17"/>
        <v>rokwzgl=12 i lp=51120</v>
      </c>
      <c r="R50" s="13" t="str">
        <f t="shared" si="17"/>
        <v>rokwzgl=13 i lp=51120</v>
      </c>
      <c r="S50" s="13" t="str">
        <f t="shared" si="17"/>
        <v>rokwzgl=14 i lp=51120</v>
      </c>
      <c r="T50" s="13" t="str">
        <f t="shared" si="17"/>
        <v>rokwzgl=15 i lp=51120</v>
      </c>
      <c r="U50" s="13" t="str">
        <f t="shared" si="17"/>
        <v>rokwzgl=16 i lp=51120</v>
      </c>
      <c r="V50" s="13" t="str">
        <f t="shared" si="17"/>
        <v>rokwzgl=17 i lp=51120</v>
      </c>
      <c r="W50" s="13" t="str">
        <f t="shared" si="17"/>
        <v>rokwzgl=18 i lp=51120</v>
      </c>
      <c r="X50" s="13" t="str">
        <f t="shared" ref="X50:AI59" si="18">+"rokwzgl="&amp;X$9&amp;" i lp="&amp;$A50</f>
        <v>rokwzgl=19 i lp=51120</v>
      </c>
      <c r="Y50" s="13" t="str">
        <f t="shared" si="18"/>
        <v>rokwzgl=20 i lp=51120</v>
      </c>
      <c r="Z50" s="13" t="str">
        <f t="shared" si="18"/>
        <v>rokwzgl=21 i lp=51120</v>
      </c>
      <c r="AA50" s="13" t="str">
        <f t="shared" si="18"/>
        <v>rokwzgl=22 i lp=51120</v>
      </c>
      <c r="AB50" s="13" t="str">
        <f t="shared" si="18"/>
        <v>rokwzgl=23 i lp=51120</v>
      </c>
      <c r="AC50" s="13" t="str">
        <f t="shared" si="18"/>
        <v>rokwzgl=24 i lp=51120</v>
      </c>
      <c r="AD50" s="13" t="str">
        <f t="shared" si="18"/>
        <v>rokwzgl=25 i lp=51120</v>
      </c>
      <c r="AE50" s="13" t="str">
        <f t="shared" si="18"/>
        <v>rokwzgl=26 i lp=51120</v>
      </c>
      <c r="AF50" s="13" t="str">
        <f t="shared" si="18"/>
        <v>rokwzgl=27 i lp=51120</v>
      </c>
      <c r="AG50" s="13" t="str">
        <f t="shared" si="18"/>
        <v>rokwzgl=28 i lp=51120</v>
      </c>
      <c r="AH50" s="13" t="str">
        <f t="shared" si="18"/>
        <v>rokwzgl=29 i lp=51120</v>
      </c>
      <c r="AI50" s="13" t="str">
        <f t="shared" si="18"/>
        <v>rokwzgl=30 i lp=51120</v>
      </c>
      <c r="AJ50" s="13" t="str">
        <f t="shared" si="14"/>
        <v>rokwzgl=31 i lp=51120</v>
      </c>
      <c r="AK50" s="13" t="str">
        <f t="shared" si="14"/>
        <v>rokwzgl=32 i lp=51120</v>
      </c>
      <c r="AL50" s="13" t="str">
        <f t="shared" si="14"/>
        <v>rokwzgl=33 i lp=51120</v>
      </c>
      <c r="AM50" s="13" t="str">
        <f t="shared" si="14"/>
        <v>rokwzgl=34 i lp=51120</v>
      </c>
      <c r="AN50" s="13" t="str">
        <f t="shared" si="10"/>
        <v>rokwzgl=35 i lp=51120</v>
      </c>
      <c r="AO50" s="13" t="str">
        <f t="shared" si="10"/>
        <v>rokwzgl=36 i lp=51120</v>
      </c>
      <c r="AP50" s="13" t="str">
        <f t="shared" si="10"/>
        <v>rokwzgl=37 i lp=51120</v>
      </c>
      <c r="AQ50" s="13" t="str">
        <f t="shared" si="10"/>
        <v>rokwzgl=38 i lp=51120</v>
      </c>
      <c r="AR50" s="13" t="str">
        <f t="shared" si="10"/>
        <v>rokwzgl=39 i lp=51120</v>
      </c>
    </row>
    <row r="51" spans="1:44">
      <c r="A51" s="29">
        <v>51130</v>
      </c>
      <c r="B51" s="12" t="s">
        <v>101</v>
      </c>
      <c r="C51" s="13" t="s">
        <v>143</v>
      </c>
      <c r="D51" s="13" t="str">
        <f t="shared" si="16"/>
        <v>rokwzgl=0 i lp=51130</v>
      </c>
      <c r="E51" s="13" t="str">
        <f t="shared" si="16"/>
        <v>rokwzgl=0 i lp=51130</v>
      </c>
      <c r="F51" s="13" t="str">
        <f t="shared" si="16"/>
        <v>rokwzgl=1 i lp=51130</v>
      </c>
      <c r="G51" s="13" t="str">
        <f t="shared" si="16"/>
        <v>rokwzgl=2 i lp=51130</v>
      </c>
      <c r="H51" s="13" t="str">
        <f t="shared" si="16"/>
        <v>rokwzgl=3 i lp=51130</v>
      </c>
      <c r="I51" s="13" t="str">
        <f t="shared" si="16"/>
        <v>rokwzgl=4 i lp=51130</v>
      </c>
      <c r="J51" s="13" t="str">
        <f t="shared" si="16"/>
        <v>rokwzgl=5 i lp=51130</v>
      </c>
      <c r="K51" s="13" t="str">
        <f t="shared" si="16"/>
        <v>rokwzgl=6 i lp=51130</v>
      </c>
      <c r="L51" s="13" t="str">
        <f t="shared" si="16"/>
        <v>rokwzgl=7 i lp=51130</v>
      </c>
      <c r="M51" s="13" t="str">
        <f t="shared" si="16"/>
        <v>rokwzgl=8 i lp=51130</v>
      </c>
      <c r="N51" s="13" t="str">
        <f t="shared" si="17"/>
        <v>rokwzgl=9 i lp=51130</v>
      </c>
      <c r="O51" s="13" t="str">
        <f t="shared" si="17"/>
        <v>rokwzgl=10 i lp=51130</v>
      </c>
      <c r="P51" s="13" t="str">
        <f t="shared" si="17"/>
        <v>rokwzgl=11 i lp=51130</v>
      </c>
      <c r="Q51" s="13" t="str">
        <f t="shared" si="17"/>
        <v>rokwzgl=12 i lp=51130</v>
      </c>
      <c r="R51" s="13" t="str">
        <f t="shared" si="17"/>
        <v>rokwzgl=13 i lp=51130</v>
      </c>
      <c r="S51" s="13" t="str">
        <f t="shared" si="17"/>
        <v>rokwzgl=14 i lp=51130</v>
      </c>
      <c r="T51" s="13" t="str">
        <f t="shared" si="17"/>
        <v>rokwzgl=15 i lp=51130</v>
      </c>
      <c r="U51" s="13" t="str">
        <f t="shared" si="17"/>
        <v>rokwzgl=16 i lp=51130</v>
      </c>
      <c r="V51" s="13" t="str">
        <f t="shared" si="17"/>
        <v>rokwzgl=17 i lp=51130</v>
      </c>
      <c r="W51" s="13" t="str">
        <f t="shared" si="17"/>
        <v>rokwzgl=18 i lp=51130</v>
      </c>
      <c r="X51" s="13" t="str">
        <f t="shared" si="18"/>
        <v>rokwzgl=19 i lp=51130</v>
      </c>
      <c r="Y51" s="13" t="str">
        <f t="shared" si="18"/>
        <v>rokwzgl=20 i lp=51130</v>
      </c>
      <c r="Z51" s="13" t="str">
        <f t="shared" si="18"/>
        <v>rokwzgl=21 i lp=51130</v>
      </c>
      <c r="AA51" s="13" t="str">
        <f t="shared" si="18"/>
        <v>rokwzgl=22 i lp=51130</v>
      </c>
      <c r="AB51" s="13" t="str">
        <f t="shared" si="18"/>
        <v>rokwzgl=23 i lp=51130</v>
      </c>
      <c r="AC51" s="13" t="str">
        <f t="shared" si="18"/>
        <v>rokwzgl=24 i lp=51130</v>
      </c>
      <c r="AD51" s="13" t="str">
        <f t="shared" si="18"/>
        <v>rokwzgl=25 i lp=51130</v>
      </c>
      <c r="AE51" s="13" t="str">
        <f t="shared" si="18"/>
        <v>rokwzgl=26 i lp=51130</v>
      </c>
      <c r="AF51" s="13" t="str">
        <f t="shared" si="18"/>
        <v>rokwzgl=27 i lp=51130</v>
      </c>
      <c r="AG51" s="13" t="str">
        <f t="shared" si="18"/>
        <v>rokwzgl=28 i lp=51130</v>
      </c>
      <c r="AH51" s="13" t="str">
        <f t="shared" si="18"/>
        <v>rokwzgl=29 i lp=51130</v>
      </c>
      <c r="AI51" s="13" t="str">
        <f t="shared" si="18"/>
        <v>rokwzgl=30 i lp=51130</v>
      </c>
      <c r="AJ51" s="13" t="str">
        <f t="shared" si="14"/>
        <v>rokwzgl=31 i lp=51130</v>
      </c>
      <c r="AK51" s="13" t="str">
        <f t="shared" si="14"/>
        <v>rokwzgl=32 i lp=51130</v>
      </c>
      <c r="AL51" s="13" t="str">
        <f t="shared" si="14"/>
        <v>rokwzgl=33 i lp=51130</v>
      </c>
      <c r="AM51" s="13" t="str">
        <f t="shared" si="14"/>
        <v>rokwzgl=34 i lp=51130</v>
      </c>
      <c r="AN51" s="13" t="str">
        <f t="shared" si="10"/>
        <v>rokwzgl=35 i lp=51130</v>
      </c>
      <c r="AO51" s="13" t="str">
        <f t="shared" si="10"/>
        <v>rokwzgl=36 i lp=51130</v>
      </c>
      <c r="AP51" s="13" t="str">
        <f t="shared" si="10"/>
        <v>rokwzgl=37 i lp=51130</v>
      </c>
      <c r="AQ51" s="13" t="str">
        <f t="shared" si="10"/>
        <v>rokwzgl=38 i lp=51130</v>
      </c>
      <c r="AR51" s="13" t="str">
        <f t="shared" si="10"/>
        <v>rokwzgl=39 i lp=51130</v>
      </c>
    </row>
    <row r="52" spans="1:44">
      <c r="A52" s="29">
        <v>51131</v>
      </c>
      <c r="B52" s="12" t="s">
        <v>202</v>
      </c>
      <c r="C52" s="13" t="s">
        <v>144</v>
      </c>
      <c r="D52" s="13" t="str">
        <f t="shared" si="16"/>
        <v>rokwzgl=0 i lp=51131</v>
      </c>
      <c r="E52" s="13" t="str">
        <f t="shared" si="16"/>
        <v>rokwzgl=0 i lp=51131</v>
      </c>
      <c r="F52" s="13" t="str">
        <f t="shared" si="16"/>
        <v>rokwzgl=1 i lp=51131</v>
      </c>
      <c r="G52" s="13" t="str">
        <f t="shared" si="16"/>
        <v>rokwzgl=2 i lp=51131</v>
      </c>
      <c r="H52" s="13" t="str">
        <f t="shared" si="16"/>
        <v>rokwzgl=3 i lp=51131</v>
      </c>
      <c r="I52" s="13" t="str">
        <f t="shared" si="16"/>
        <v>rokwzgl=4 i lp=51131</v>
      </c>
      <c r="J52" s="13" t="str">
        <f t="shared" si="16"/>
        <v>rokwzgl=5 i lp=51131</v>
      </c>
      <c r="K52" s="13" t="str">
        <f t="shared" si="16"/>
        <v>rokwzgl=6 i lp=51131</v>
      </c>
      <c r="L52" s="13" t="str">
        <f t="shared" si="16"/>
        <v>rokwzgl=7 i lp=51131</v>
      </c>
      <c r="M52" s="13" t="str">
        <f t="shared" si="16"/>
        <v>rokwzgl=8 i lp=51131</v>
      </c>
      <c r="N52" s="13" t="str">
        <f t="shared" si="17"/>
        <v>rokwzgl=9 i lp=51131</v>
      </c>
      <c r="O52" s="13" t="str">
        <f t="shared" si="17"/>
        <v>rokwzgl=10 i lp=51131</v>
      </c>
      <c r="P52" s="13" t="str">
        <f t="shared" si="17"/>
        <v>rokwzgl=11 i lp=51131</v>
      </c>
      <c r="Q52" s="13" t="str">
        <f t="shared" si="17"/>
        <v>rokwzgl=12 i lp=51131</v>
      </c>
      <c r="R52" s="13" t="str">
        <f t="shared" si="17"/>
        <v>rokwzgl=13 i lp=51131</v>
      </c>
      <c r="S52" s="13" t="str">
        <f t="shared" si="17"/>
        <v>rokwzgl=14 i lp=51131</v>
      </c>
      <c r="T52" s="13" t="str">
        <f t="shared" si="17"/>
        <v>rokwzgl=15 i lp=51131</v>
      </c>
      <c r="U52" s="13" t="str">
        <f t="shared" si="17"/>
        <v>rokwzgl=16 i lp=51131</v>
      </c>
      <c r="V52" s="13" t="str">
        <f t="shared" si="17"/>
        <v>rokwzgl=17 i lp=51131</v>
      </c>
      <c r="W52" s="13" t="str">
        <f t="shared" si="17"/>
        <v>rokwzgl=18 i lp=51131</v>
      </c>
      <c r="X52" s="13" t="str">
        <f t="shared" si="18"/>
        <v>rokwzgl=19 i lp=51131</v>
      </c>
      <c r="Y52" s="13" t="str">
        <f t="shared" si="18"/>
        <v>rokwzgl=20 i lp=51131</v>
      </c>
      <c r="Z52" s="13" t="str">
        <f t="shared" si="18"/>
        <v>rokwzgl=21 i lp=51131</v>
      </c>
      <c r="AA52" s="13" t="str">
        <f t="shared" si="18"/>
        <v>rokwzgl=22 i lp=51131</v>
      </c>
      <c r="AB52" s="13" t="str">
        <f t="shared" si="18"/>
        <v>rokwzgl=23 i lp=51131</v>
      </c>
      <c r="AC52" s="13" t="str">
        <f t="shared" si="18"/>
        <v>rokwzgl=24 i lp=51131</v>
      </c>
      <c r="AD52" s="13" t="str">
        <f t="shared" si="18"/>
        <v>rokwzgl=25 i lp=51131</v>
      </c>
      <c r="AE52" s="13" t="str">
        <f t="shared" si="18"/>
        <v>rokwzgl=26 i lp=51131</v>
      </c>
      <c r="AF52" s="13" t="str">
        <f t="shared" si="18"/>
        <v>rokwzgl=27 i lp=51131</v>
      </c>
      <c r="AG52" s="13" t="str">
        <f t="shared" si="18"/>
        <v>rokwzgl=28 i lp=51131</v>
      </c>
      <c r="AH52" s="13" t="str">
        <f t="shared" si="18"/>
        <v>rokwzgl=29 i lp=51131</v>
      </c>
      <c r="AI52" s="13" t="str">
        <f t="shared" si="18"/>
        <v>rokwzgl=30 i lp=51131</v>
      </c>
      <c r="AJ52" s="13" t="str">
        <f t="shared" si="14"/>
        <v>rokwzgl=31 i lp=51131</v>
      </c>
      <c r="AK52" s="13" t="str">
        <f t="shared" si="14"/>
        <v>rokwzgl=32 i lp=51131</v>
      </c>
      <c r="AL52" s="13" t="str">
        <f t="shared" si="14"/>
        <v>rokwzgl=33 i lp=51131</v>
      </c>
      <c r="AM52" s="13" t="str">
        <f t="shared" si="14"/>
        <v>rokwzgl=34 i lp=51131</v>
      </c>
      <c r="AN52" s="13" t="str">
        <f t="shared" si="10"/>
        <v>rokwzgl=35 i lp=51131</v>
      </c>
      <c r="AO52" s="13" t="str">
        <f t="shared" si="10"/>
        <v>rokwzgl=36 i lp=51131</v>
      </c>
      <c r="AP52" s="13" t="str">
        <f t="shared" si="10"/>
        <v>rokwzgl=37 i lp=51131</v>
      </c>
      <c r="AQ52" s="13" t="str">
        <f t="shared" si="10"/>
        <v>rokwzgl=38 i lp=51131</v>
      </c>
      <c r="AR52" s="13" t="str">
        <f t="shared" si="10"/>
        <v>rokwzgl=39 i lp=51131</v>
      </c>
    </row>
    <row r="53" spans="1:44">
      <c r="A53" s="29">
        <v>51132</v>
      </c>
      <c r="B53" s="12" t="s">
        <v>203</v>
      </c>
      <c r="C53" s="13" t="s">
        <v>145</v>
      </c>
      <c r="D53" s="13" t="str">
        <f t="shared" si="16"/>
        <v>rokwzgl=0 i lp=51132</v>
      </c>
      <c r="E53" s="13" t="str">
        <f t="shared" si="16"/>
        <v>rokwzgl=0 i lp=51132</v>
      </c>
      <c r="F53" s="13" t="str">
        <f t="shared" si="16"/>
        <v>rokwzgl=1 i lp=51132</v>
      </c>
      <c r="G53" s="13" t="str">
        <f t="shared" si="16"/>
        <v>rokwzgl=2 i lp=51132</v>
      </c>
      <c r="H53" s="13" t="str">
        <f t="shared" si="16"/>
        <v>rokwzgl=3 i lp=51132</v>
      </c>
      <c r="I53" s="13" t="str">
        <f t="shared" si="16"/>
        <v>rokwzgl=4 i lp=51132</v>
      </c>
      <c r="J53" s="13" t="str">
        <f t="shared" si="16"/>
        <v>rokwzgl=5 i lp=51132</v>
      </c>
      <c r="K53" s="13" t="str">
        <f t="shared" si="16"/>
        <v>rokwzgl=6 i lp=51132</v>
      </c>
      <c r="L53" s="13" t="str">
        <f t="shared" si="16"/>
        <v>rokwzgl=7 i lp=51132</v>
      </c>
      <c r="M53" s="13" t="str">
        <f t="shared" si="16"/>
        <v>rokwzgl=8 i lp=51132</v>
      </c>
      <c r="N53" s="13" t="str">
        <f t="shared" si="17"/>
        <v>rokwzgl=9 i lp=51132</v>
      </c>
      <c r="O53" s="13" t="str">
        <f t="shared" si="17"/>
        <v>rokwzgl=10 i lp=51132</v>
      </c>
      <c r="P53" s="13" t="str">
        <f t="shared" si="17"/>
        <v>rokwzgl=11 i lp=51132</v>
      </c>
      <c r="Q53" s="13" t="str">
        <f t="shared" si="17"/>
        <v>rokwzgl=12 i lp=51132</v>
      </c>
      <c r="R53" s="13" t="str">
        <f t="shared" si="17"/>
        <v>rokwzgl=13 i lp=51132</v>
      </c>
      <c r="S53" s="13" t="str">
        <f t="shared" si="17"/>
        <v>rokwzgl=14 i lp=51132</v>
      </c>
      <c r="T53" s="13" t="str">
        <f t="shared" si="17"/>
        <v>rokwzgl=15 i lp=51132</v>
      </c>
      <c r="U53" s="13" t="str">
        <f t="shared" si="17"/>
        <v>rokwzgl=16 i lp=51132</v>
      </c>
      <c r="V53" s="13" t="str">
        <f t="shared" si="17"/>
        <v>rokwzgl=17 i lp=51132</v>
      </c>
      <c r="W53" s="13" t="str">
        <f t="shared" si="17"/>
        <v>rokwzgl=18 i lp=51132</v>
      </c>
      <c r="X53" s="13" t="str">
        <f t="shared" si="18"/>
        <v>rokwzgl=19 i lp=51132</v>
      </c>
      <c r="Y53" s="13" t="str">
        <f t="shared" si="18"/>
        <v>rokwzgl=20 i lp=51132</v>
      </c>
      <c r="Z53" s="13" t="str">
        <f t="shared" si="18"/>
        <v>rokwzgl=21 i lp=51132</v>
      </c>
      <c r="AA53" s="13" t="str">
        <f t="shared" si="18"/>
        <v>rokwzgl=22 i lp=51132</v>
      </c>
      <c r="AB53" s="13" t="str">
        <f t="shared" si="18"/>
        <v>rokwzgl=23 i lp=51132</v>
      </c>
      <c r="AC53" s="13" t="str">
        <f t="shared" si="18"/>
        <v>rokwzgl=24 i lp=51132</v>
      </c>
      <c r="AD53" s="13" t="str">
        <f t="shared" si="18"/>
        <v>rokwzgl=25 i lp=51132</v>
      </c>
      <c r="AE53" s="13" t="str">
        <f t="shared" si="18"/>
        <v>rokwzgl=26 i lp=51132</v>
      </c>
      <c r="AF53" s="13" t="str">
        <f t="shared" si="18"/>
        <v>rokwzgl=27 i lp=51132</v>
      </c>
      <c r="AG53" s="13" t="str">
        <f t="shared" si="18"/>
        <v>rokwzgl=28 i lp=51132</v>
      </c>
      <c r="AH53" s="13" t="str">
        <f t="shared" si="18"/>
        <v>rokwzgl=29 i lp=51132</v>
      </c>
      <c r="AI53" s="13" t="str">
        <f t="shared" si="18"/>
        <v>rokwzgl=30 i lp=51132</v>
      </c>
      <c r="AJ53" s="13" t="str">
        <f t="shared" si="14"/>
        <v>rokwzgl=31 i lp=51132</v>
      </c>
      <c r="AK53" s="13" t="str">
        <f t="shared" si="14"/>
        <v>rokwzgl=32 i lp=51132</v>
      </c>
      <c r="AL53" s="13" t="str">
        <f t="shared" si="14"/>
        <v>rokwzgl=33 i lp=51132</v>
      </c>
      <c r="AM53" s="13" t="str">
        <f t="shared" si="14"/>
        <v>rokwzgl=34 i lp=51132</v>
      </c>
      <c r="AN53" s="13" t="str">
        <f t="shared" si="10"/>
        <v>rokwzgl=35 i lp=51132</v>
      </c>
      <c r="AO53" s="13" t="str">
        <f t="shared" si="10"/>
        <v>rokwzgl=36 i lp=51132</v>
      </c>
      <c r="AP53" s="13" t="str">
        <f t="shared" si="10"/>
        <v>rokwzgl=37 i lp=51132</v>
      </c>
      <c r="AQ53" s="13" t="str">
        <f t="shared" si="10"/>
        <v>rokwzgl=38 i lp=51132</v>
      </c>
      <c r="AR53" s="13" t="str">
        <f t="shared" si="10"/>
        <v>rokwzgl=39 i lp=51132</v>
      </c>
    </row>
    <row r="54" spans="1:44">
      <c r="A54" s="29">
        <v>51133</v>
      </c>
      <c r="B54" s="12" t="s">
        <v>204</v>
      </c>
      <c r="C54" s="13" t="s">
        <v>146</v>
      </c>
      <c r="D54" s="13" t="str">
        <f t="shared" si="16"/>
        <v>rokwzgl=0 i lp=51133</v>
      </c>
      <c r="E54" s="13" t="str">
        <f t="shared" si="16"/>
        <v>rokwzgl=0 i lp=51133</v>
      </c>
      <c r="F54" s="13" t="str">
        <f t="shared" si="16"/>
        <v>rokwzgl=1 i lp=51133</v>
      </c>
      <c r="G54" s="13" t="str">
        <f t="shared" si="16"/>
        <v>rokwzgl=2 i lp=51133</v>
      </c>
      <c r="H54" s="13" t="str">
        <f t="shared" si="16"/>
        <v>rokwzgl=3 i lp=51133</v>
      </c>
      <c r="I54" s="13" t="str">
        <f t="shared" si="16"/>
        <v>rokwzgl=4 i lp=51133</v>
      </c>
      <c r="J54" s="13" t="str">
        <f t="shared" si="16"/>
        <v>rokwzgl=5 i lp=51133</v>
      </c>
      <c r="K54" s="13" t="str">
        <f t="shared" si="16"/>
        <v>rokwzgl=6 i lp=51133</v>
      </c>
      <c r="L54" s="13" t="str">
        <f t="shared" si="16"/>
        <v>rokwzgl=7 i lp=51133</v>
      </c>
      <c r="M54" s="13" t="str">
        <f t="shared" si="16"/>
        <v>rokwzgl=8 i lp=51133</v>
      </c>
      <c r="N54" s="13" t="str">
        <f t="shared" si="17"/>
        <v>rokwzgl=9 i lp=51133</v>
      </c>
      <c r="O54" s="13" t="str">
        <f t="shared" si="17"/>
        <v>rokwzgl=10 i lp=51133</v>
      </c>
      <c r="P54" s="13" t="str">
        <f t="shared" si="17"/>
        <v>rokwzgl=11 i lp=51133</v>
      </c>
      <c r="Q54" s="13" t="str">
        <f t="shared" si="17"/>
        <v>rokwzgl=12 i lp=51133</v>
      </c>
      <c r="R54" s="13" t="str">
        <f t="shared" si="17"/>
        <v>rokwzgl=13 i lp=51133</v>
      </c>
      <c r="S54" s="13" t="str">
        <f t="shared" si="17"/>
        <v>rokwzgl=14 i lp=51133</v>
      </c>
      <c r="T54" s="13" t="str">
        <f t="shared" si="17"/>
        <v>rokwzgl=15 i lp=51133</v>
      </c>
      <c r="U54" s="13" t="str">
        <f t="shared" si="17"/>
        <v>rokwzgl=16 i lp=51133</v>
      </c>
      <c r="V54" s="13" t="str">
        <f t="shared" si="17"/>
        <v>rokwzgl=17 i lp=51133</v>
      </c>
      <c r="W54" s="13" t="str">
        <f t="shared" si="17"/>
        <v>rokwzgl=18 i lp=51133</v>
      </c>
      <c r="X54" s="13" t="str">
        <f t="shared" si="18"/>
        <v>rokwzgl=19 i lp=51133</v>
      </c>
      <c r="Y54" s="13" t="str">
        <f t="shared" si="18"/>
        <v>rokwzgl=20 i lp=51133</v>
      </c>
      <c r="Z54" s="13" t="str">
        <f t="shared" si="18"/>
        <v>rokwzgl=21 i lp=51133</v>
      </c>
      <c r="AA54" s="13" t="str">
        <f t="shared" si="18"/>
        <v>rokwzgl=22 i lp=51133</v>
      </c>
      <c r="AB54" s="13" t="str">
        <f t="shared" si="18"/>
        <v>rokwzgl=23 i lp=51133</v>
      </c>
      <c r="AC54" s="13" t="str">
        <f t="shared" si="18"/>
        <v>rokwzgl=24 i lp=51133</v>
      </c>
      <c r="AD54" s="13" t="str">
        <f t="shared" si="18"/>
        <v>rokwzgl=25 i lp=51133</v>
      </c>
      <c r="AE54" s="13" t="str">
        <f t="shared" si="18"/>
        <v>rokwzgl=26 i lp=51133</v>
      </c>
      <c r="AF54" s="13" t="str">
        <f t="shared" si="18"/>
        <v>rokwzgl=27 i lp=51133</v>
      </c>
      <c r="AG54" s="13" t="str">
        <f t="shared" si="18"/>
        <v>rokwzgl=28 i lp=51133</v>
      </c>
      <c r="AH54" s="13" t="str">
        <f t="shared" si="18"/>
        <v>rokwzgl=29 i lp=51133</v>
      </c>
      <c r="AI54" s="13" t="str">
        <f t="shared" si="18"/>
        <v>rokwzgl=30 i lp=51133</v>
      </c>
      <c r="AJ54" s="13" t="str">
        <f t="shared" si="14"/>
        <v>rokwzgl=31 i lp=51133</v>
      </c>
      <c r="AK54" s="13" t="str">
        <f t="shared" si="14"/>
        <v>rokwzgl=32 i lp=51133</v>
      </c>
      <c r="AL54" s="13" t="str">
        <f t="shared" si="14"/>
        <v>rokwzgl=33 i lp=51133</v>
      </c>
      <c r="AM54" s="13" t="str">
        <f t="shared" si="14"/>
        <v>rokwzgl=34 i lp=51133</v>
      </c>
      <c r="AN54" s="13" t="str">
        <f t="shared" si="10"/>
        <v>rokwzgl=35 i lp=51133</v>
      </c>
      <c r="AO54" s="13" t="str">
        <f t="shared" si="10"/>
        <v>rokwzgl=36 i lp=51133</v>
      </c>
      <c r="AP54" s="13" t="str">
        <f t="shared" si="10"/>
        <v>rokwzgl=37 i lp=51133</v>
      </c>
      <c r="AQ54" s="13" t="str">
        <f t="shared" si="10"/>
        <v>rokwzgl=38 i lp=51133</v>
      </c>
      <c r="AR54" s="13" t="str">
        <f t="shared" si="10"/>
        <v>rokwzgl=39 i lp=51133</v>
      </c>
    </row>
    <row r="55" spans="1:44">
      <c r="A55" s="29">
        <v>51140</v>
      </c>
      <c r="B55" s="12" t="s">
        <v>321</v>
      </c>
      <c r="D55" s="13" t="str">
        <f t="shared" si="16"/>
        <v>rokwzgl=0 i lp=51140</v>
      </c>
      <c r="E55" s="13" t="str">
        <f t="shared" si="16"/>
        <v>rokwzgl=0 i lp=51140</v>
      </c>
      <c r="F55" s="13" t="str">
        <f t="shared" si="16"/>
        <v>rokwzgl=1 i lp=51140</v>
      </c>
      <c r="G55" s="13" t="str">
        <f t="shared" si="16"/>
        <v>rokwzgl=2 i lp=51140</v>
      </c>
      <c r="H55" s="13" t="str">
        <f t="shared" si="16"/>
        <v>rokwzgl=3 i lp=51140</v>
      </c>
      <c r="I55" s="13" t="str">
        <f t="shared" si="16"/>
        <v>rokwzgl=4 i lp=51140</v>
      </c>
      <c r="J55" s="13" t="str">
        <f t="shared" si="16"/>
        <v>rokwzgl=5 i lp=51140</v>
      </c>
      <c r="K55" s="13" t="str">
        <f t="shared" si="16"/>
        <v>rokwzgl=6 i lp=51140</v>
      </c>
      <c r="L55" s="13" t="str">
        <f t="shared" si="16"/>
        <v>rokwzgl=7 i lp=51140</v>
      </c>
      <c r="M55" s="13" t="str">
        <f t="shared" si="16"/>
        <v>rokwzgl=8 i lp=51140</v>
      </c>
      <c r="N55" s="13" t="str">
        <f t="shared" si="17"/>
        <v>rokwzgl=9 i lp=51140</v>
      </c>
      <c r="O55" s="13" t="str">
        <f t="shared" si="17"/>
        <v>rokwzgl=10 i lp=51140</v>
      </c>
      <c r="P55" s="13" t="str">
        <f t="shared" si="17"/>
        <v>rokwzgl=11 i lp=51140</v>
      </c>
      <c r="Q55" s="13" t="str">
        <f t="shared" si="17"/>
        <v>rokwzgl=12 i lp=51140</v>
      </c>
      <c r="R55" s="13" t="str">
        <f t="shared" si="17"/>
        <v>rokwzgl=13 i lp=51140</v>
      </c>
      <c r="S55" s="13" t="str">
        <f t="shared" si="17"/>
        <v>rokwzgl=14 i lp=51140</v>
      </c>
      <c r="T55" s="13" t="str">
        <f t="shared" si="17"/>
        <v>rokwzgl=15 i lp=51140</v>
      </c>
      <c r="U55" s="13" t="str">
        <f t="shared" si="17"/>
        <v>rokwzgl=16 i lp=51140</v>
      </c>
      <c r="V55" s="13" t="str">
        <f t="shared" si="17"/>
        <v>rokwzgl=17 i lp=51140</v>
      </c>
      <c r="W55" s="13" t="str">
        <f t="shared" si="17"/>
        <v>rokwzgl=18 i lp=51140</v>
      </c>
      <c r="X55" s="13" t="str">
        <f t="shared" si="18"/>
        <v>rokwzgl=19 i lp=51140</v>
      </c>
      <c r="Y55" s="13" t="str">
        <f t="shared" si="18"/>
        <v>rokwzgl=20 i lp=51140</v>
      </c>
      <c r="Z55" s="13" t="str">
        <f t="shared" si="18"/>
        <v>rokwzgl=21 i lp=51140</v>
      </c>
      <c r="AA55" s="13" t="str">
        <f t="shared" si="18"/>
        <v>rokwzgl=22 i lp=51140</v>
      </c>
      <c r="AB55" s="13" t="str">
        <f t="shared" si="18"/>
        <v>rokwzgl=23 i lp=51140</v>
      </c>
      <c r="AC55" s="13" t="str">
        <f t="shared" si="18"/>
        <v>rokwzgl=24 i lp=51140</v>
      </c>
      <c r="AD55" s="13" t="str">
        <f t="shared" si="18"/>
        <v>rokwzgl=25 i lp=51140</v>
      </c>
      <c r="AE55" s="13" t="str">
        <f t="shared" si="18"/>
        <v>rokwzgl=26 i lp=51140</v>
      </c>
      <c r="AF55" s="13" t="str">
        <f t="shared" si="18"/>
        <v>rokwzgl=27 i lp=51140</v>
      </c>
      <c r="AG55" s="13" t="str">
        <f t="shared" si="18"/>
        <v>rokwzgl=28 i lp=51140</v>
      </c>
      <c r="AH55" s="13" t="str">
        <f t="shared" si="18"/>
        <v>rokwzgl=29 i lp=51140</v>
      </c>
      <c r="AI55" s="13" t="str">
        <f t="shared" si="18"/>
        <v>rokwzgl=30 i lp=51140</v>
      </c>
      <c r="AJ55" s="13" t="str">
        <f t="shared" si="14"/>
        <v>rokwzgl=31 i lp=51140</v>
      </c>
      <c r="AK55" s="13" t="str">
        <f t="shared" si="14"/>
        <v>rokwzgl=32 i lp=51140</v>
      </c>
      <c r="AL55" s="13" t="str">
        <f t="shared" si="14"/>
        <v>rokwzgl=33 i lp=51140</v>
      </c>
      <c r="AM55" s="13" t="str">
        <f t="shared" si="14"/>
        <v>rokwzgl=34 i lp=51140</v>
      </c>
      <c r="AN55" s="13" t="str">
        <f t="shared" si="10"/>
        <v>rokwzgl=35 i lp=51140</v>
      </c>
      <c r="AO55" s="13" t="str">
        <f t="shared" si="10"/>
        <v>rokwzgl=36 i lp=51140</v>
      </c>
      <c r="AP55" s="13" t="str">
        <f t="shared" si="10"/>
        <v>rokwzgl=37 i lp=51140</v>
      </c>
      <c r="AQ55" s="13" t="str">
        <f t="shared" si="10"/>
        <v>rokwzgl=38 i lp=51140</v>
      </c>
      <c r="AR55" s="13" t="str">
        <f t="shared" si="10"/>
        <v>rokwzgl=39 i lp=51140</v>
      </c>
    </row>
    <row r="56" spans="1:44">
      <c r="A56" s="29">
        <v>52000</v>
      </c>
      <c r="B56" s="12" t="s">
        <v>55</v>
      </c>
      <c r="C56" s="13" t="s">
        <v>147</v>
      </c>
      <c r="D56" s="13" t="str">
        <f t="shared" ref="D56:M66" si="19">+"rokwzgl="&amp;D$9&amp;" i lp="&amp;$A56</f>
        <v>rokwzgl=0 i lp=52000</v>
      </c>
      <c r="E56" s="13" t="str">
        <f t="shared" si="19"/>
        <v>rokwzgl=0 i lp=52000</v>
      </c>
      <c r="F56" s="13" t="str">
        <f t="shared" si="19"/>
        <v>rokwzgl=1 i lp=52000</v>
      </c>
      <c r="G56" s="13" t="str">
        <f t="shared" si="19"/>
        <v>rokwzgl=2 i lp=52000</v>
      </c>
      <c r="H56" s="13" t="str">
        <f t="shared" si="19"/>
        <v>rokwzgl=3 i lp=52000</v>
      </c>
      <c r="I56" s="13" t="str">
        <f t="shared" si="19"/>
        <v>rokwzgl=4 i lp=52000</v>
      </c>
      <c r="J56" s="13" t="str">
        <f t="shared" si="19"/>
        <v>rokwzgl=5 i lp=52000</v>
      </c>
      <c r="K56" s="13" t="str">
        <f t="shared" si="19"/>
        <v>rokwzgl=6 i lp=52000</v>
      </c>
      <c r="L56" s="13" t="str">
        <f t="shared" si="19"/>
        <v>rokwzgl=7 i lp=52000</v>
      </c>
      <c r="M56" s="13" t="str">
        <f t="shared" si="19"/>
        <v>rokwzgl=8 i lp=52000</v>
      </c>
      <c r="N56" s="13" t="str">
        <f t="shared" ref="N56:W66" si="20">+"rokwzgl="&amp;N$9&amp;" i lp="&amp;$A56</f>
        <v>rokwzgl=9 i lp=52000</v>
      </c>
      <c r="O56" s="13" t="str">
        <f t="shared" si="20"/>
        <v>rokwzgl=10 i lp=52000</v>
      </c>
      <c r="P56" s="13" t="str">
        <f t="shared" si="20"/>
        <v>rokwzgl=11 i lp=52000</v>
      </c>
      <c r="Q56" s="13" t="str">
        <f t="shared" si="20"/>
        <v>rokwzgl=12 i lp=52000</v>
      </c>
      <c r="R56" s="13" t="str">
        <f t="shared" si="20"/>
        <v>rokwzgl=13 i lp=52000</v>
      </c>
      <c r="S56" s="13" t="str">
        <f t="shared" si="20"/>
        <v>rokwzgl=14 i lp=52000</v>
      </c>
      <c r="T56" s="13" t="str">
        <f t="shared" si="20"/>
        <v>rokwzgl=15 i lp=52000</v>
      </c>
      <c r="U56" s="13" t="str">
        <f t="shared" si="20"/>
        <v>rokwzgl=16 i lp=52000</v>
      </c>
      <c r="V56" s="13" t="str">
        <f t="shared" si="20"/>
        <v>rokwzgl=17 i lp=52000</v>
      </c>
      <c r="W56" s="13" t="str">
        <f t="shared" si="20"/>
        <v>rokwzgl=18 i lp=52000</v>
      </c>
      <c r="X56" s="13" t="str">
        <f t="shared" si="18"/>
        <v>rokwzgl=19 i lp=52000</v>
      </c>
      <c r="Y56" s="13" t="str">
        <f t="shared" si="18"/>
        <v>rokwzgl=20 i lp=52000</v>
      </c>
      <c r="Z56" s="13" t="str">
        <f t="shared" si="18"/>
        <v>rokwzgl=21 i lp=52000</v>
      </c>
      <c r="AA56" s="13" t="str">
        <f t="shared" si="18"/>
        <v>rokwzgl=22 i lp=52000</v>
      </c>
      <c r="AB56" s="13" t="str">
        <f t="shared" si="18"/>
        <v>rokwzgl=23 i lp=52000</v>
      </c>
      <c r="AC56" s="13" t="str">
        <f t="shared" si="18"/>
        <v>rokwzgl=24 i lp=52000</v>
      </c>
      <c r="AD56" s="13" t="str">
        <f t="shared" si="18"/>
        <v>rokwzgl=25 i lp=52000</v>
      </c>
      <c r="AE56" s="13" t="str">
        <f t="shared" si="18"/>
        <v>rokwzgl=26 i lp=52000</v>
      </c>
      <c r="AF56" s="13" t="str">
        <f t="shared" si="18"/>
        <v>rokwzgl=27 i lp=52000</v>
      </c>
      <c r="AG56" s="13" t="str">
        <f t="shared" si="18"/>
        <v>rokwzgl=28 i lp=52000</v>
      </c>
      <c r="AH56" s="13" t="str">
        <f t="shared" si="18"/>
        <v>rokwzgl=29 i lp=52000</v>
      </c>
      <c r="AI56" s="13" t="str">
        <f t="shared" si="18"/>
        <v>rokwzgl=30 i lp=52000</v>
      </c>
      <c r="AJ56" s="13" t="str">
        <f t="shared" si="14"/>
        <v>rokwzgl=31 i lp=52000</v>
      </c>
      <c r="AK56" s="13" t="str">
        <f t="shared" si="14"/>
        <v>rokwzgl=32 i lp=52000</v>
      </c>
      <c r="AL56" s="13" t="str">
        <f t="shared" si="14"/>
        <v>rokwzgl=33 i lp=52000</v>
      </c>
      <c r="AM56" s="13" t="str">
        <f t="shared" si="14"/>
        <v>rokwzgl=34 i lp=52000</v>
      </c>
      <c r="AN56" s="13" t="str">
        <f t="shared" si="10"/>
        <v>rokwzgl=35 i lp=52000</v>
      </c>
      <c r="AO56" s="13" t="str">
        <f t="shared" si="10"/>
        <v>rokwzgl=36 i lp=52000</v>
      </c>
      <c r="AP56" s="13" t="str">
        <f t="shared" si="10"/>
        <v>rokwzgl=37 i lp=52000</v>
      </c>
      <c r="AQ56" s="13" t="str">
        <f t="shared" si="10"/>
        <v>rokwzgl=38 i lp=52000</v>
      </c>
      <c r="AR56" s="13" t="str">
        <f t="shared" si="10"/>
        <v>rokwzgl=39 i lp=52000</v>
      </c>
    </row>
    <row r="57" spans="1:44">
      <c r="A57" s="29">
        <v>60000</v>
      </c>
      <c r="B57" s="12">
        <v>6</v>
      </c>
      <c r="C57" s="13" t="s">
        <v>148</v>
      </c>
      <c r="D57" s="13" t="str">
        <f t="shared" si="19"/>
        <v>rokwzgl=0 i lp=60000</v>
      </c>
      <c r="E57" s="13" t="str">
        <f t="shared" si="19"/>
        <v>rokwzgl=0 i lp=60000</v>
      </c>
      <c r="F57" s="13" t="str">
        <f t="shared" si="19"/>
        <v>rokwzgl=1 i lp=60000</v>
      </c>
      <c r="G57" s="13" t="str">
        <f t="shared" si="19"/>
        <v>rokwzgl=2 i lp=60000</v>
      </c>
      <c r="H57" s="13" t="str">
        <f t="shared" si="19"/>
        <v>rokwzgl=3 i lp=60000</v>
      </c>
      <c r="I57" s="13" t="str">
        <f t="shared" si="19"/>
        <v>rokwzgl=4 i lp=60000</v>
      </c>
      <c r="J57" s="13" t="str">
        <f t="shared" si="19"/>
        <v>rokwzgl=5 i lp=60000</v>
      </c>
      <c r="K57" s="13" t="str">
        <f t="shared" si="19"/>
        <v>rokwzgl=6 i lp=60000</v>
      </c>
      <c r="L57" s="13" t="str">
        <f t="shared" si="19"/>
        <v>rokwzgl=7 i lp=60000</v>
      </c>
      <c r="M57" s="13" t="str">
        <f t="shared" si="19"/>
        <v>rokwzgl=8 i lp=60000</v>
      </c>
      <c r="N57" s="13" t="str">
        <f t="shared" si="20"/>
        <v>rokwzgl=9 i lp=60000</v>
      </c>
      <c r="O57" s="13" t="str">
        <f t="shared" si="20"/>
        <v>rokwzgl=10 i lp=60000</v>
      </c>
      <c r="P57" s="13" t="str">
        <f t="shared" si="20"/>
        <v>rokwzgl=11 i lp=60000</v>
      </c>
      <c r="Q57" s="13" t="str">
        <f t="shared" si="20"/>
        <v>rokwzgl=12 i lp=60000</v>
      </c>
      <c r="R57" s="13" t="str">
        <f t="shared" si="20"/>
        <v>rokwzgl=13 i lp=60000</v>
      </c>
      <c r="S57" s="13" t="str">
        <f t="shared" si="20"/>
        <v>rokwzgl=14 i lp=60000</v>
      </c>
      <c r="T57" s="13" t="str">
        <f t="shared" si="20"/>
        <v>rokwzgl=15 i lp=60000</v>
      </c>
      <c r="U57" s="13" t="str">
        <f t="shared" si="20"/>
        <v>rokwzgl=16 i lp=60000</v>
      </c>
      <c r="V57" s="13" t="str">
        <f t="shared" si="20"/>
        <v>rokwzgl=17 i lp=60000</v>
      </c>
      <c r="W57" s="13" t="str">
        <f t="shared" si="20"/>
        <v>rokwzgl=18 i lp=60000</v>
      </c>
      <c r="X57" s="13" t="str">
        <f t="shared" si="18"/>
        <v>rokwzgl=19 i lp=60000</v>
      </c>
      <c r="Y57" s="13" t="str">
        <f t="shared" si="18"/>
        <v>rokwzgl=20 i lp=60000</v>
      </c>
      <c r="Z57" s="13" t="str">
        <f t="shared" si="18"/>
        <v>rokwzgl=21 i lp=60000</v>
      </c>
      <c r="AA57" s="13" t="str">
        <f t="shared" si="18"/>
        <v>rokwzgl=22 i lp=60000</v>
      </c>
      <c r="AB57" s="13" t="str">
        <f t="shared" si="18"/>
        <v>rokwzgl=23 i lp=60000</v>
      </c>
      <c r="AC57" s="13" t="str">
        <f t="shared" si="18"/>
        <v>rokwzgl=24 i lp=60000</v>
      </c>
      <c r="AD57" s="13" t="str">
        <f t="shared" si="18"/>
        <v>rokwzgl=25 i lp=60000</v>
      </c>
      <c r="AE57" s="13" t="str">
        <f t="shared" si="18"/>
        <v>rokwzgl=26 i lp=60000</v>
      </c>
      <c r="AF57" s="13" t="str">
        <f t="shared" si="18"/>
        <v>rokwzgl=27 i lp=60000</v>
      </c>
      <c r="AG57" s="13" t="str">
        <f t="shared" si="18"/>
        <v>rokwzgl=28 i lp=60000</v>
      </c>
      <c r="AH57" s="13" t="str">
        <f t="shared" si="18"/>
        <v>rokwzgl=29 i lp=60000</v>
      </c>
      <c r="AI57" s="13" t="str">
        <f t="shared" si="18"/>
        <v>rokwzgl=30 i lp=60000</v>
      </c>
      <c r="AJ57" s="13" t="str">
        <f t="shared" si="14"/>
        <v>rokwzgl=31 i lp=60000</v>
      </c>
      <c r="AK57" s="13" t="str">
        <f t="shared" si="14"/>
        <v>rokwzgl=32 i lp=60000</v>
      </c>
      <c r="AL57" s="13" t="str">
        <f t="shared" si="14"/>
        <v>rokwzgl=33 i lp=60000</v>
      </c>
      <c r="AM57" s="13" t="str">
        <f t="shared" si="14"/>
        <v>rokwzgl=34 i lp=60000</v>
      </c>
      <c r="AN57" s="13" t="str">
        <f t="shared" si="10"/>
        <v>rokwzgl=35 i lp=60000</v>
      </c>
      <c r="AO57" s="13" t="str">
        <f t="shared" si="10"/>
        <v>rokwzgl=36 i lp=60000</v>
      </c>
      <c r="AP57" s="13" t="str">
        <f t="shared" si="10"/>
        <v>rokwzgl=37 i lp=60000</v>
      </c>
      <c r="AQ57" s="13" t="str">
        <f t="shared" si="10"/>
        <v>rokwzgl=38 i lp=60000</v>
      </c>
      <c r="AR57" s="13" t="str">
        <f t="shared" si="10"/>
        <v>rokwzgl=39 i lp=60000</v>
      </c>
    </row>
    <row r="58" spans="1:44">
      <c r="A58" s="29">
        <v>61000</v>
      </c>
      <c r="B58" s="12" t="s">
        <v>56</v>
      </c>
      <c r="C58" s="13" t="s">
        <v>149</v>
      </c>
      <c r="D58" s="13" t="str">
        <f t="shared" si="19"/>
        <v>rokwzgl=0 i lp=61000</v>
      </c>
      <c r="E58" s="13" t="str">
        <f t="shared" si="19"/>
        <v>rokwzgl=0 i lp=61000</v>
      </c>
      <c r="F58" s="13" t="str">
        <f t="shared" si="19"/>
        <v>rokwzgl=1 i lp=61000</v>
      </c>
      <c r="G58" s="13" t="str">
        <f t="shared" si="19"/>
        <v>rokwzgl=2 i lp=61000</v>
      </c>
      <c r="H58" s="13" t="str">
        <f t="shared" si="19"/>
        <v>rokwzgl=3 i lp=61000</v>
      </c>
      <c r="I58" s="13" t="str">
        <f t="shared" si="19"/>
        <v>rokwzgl=4 i lp=61000</v>
      </c>
      <c r="J58" s="13" t="str">
        <f t="shared" si="19"/>
        <v>rokwzgl=5 i lp=61000</v>
      </c>
      <c r="K58" s="13" t="str">
        <f t="shared" si="19"/>
        <v>rokwzgl=6 i lp=61000</v>
      </c>
      <c r="L58" s="13" t="str">
        <f t="shared" si="19"/>
        <v>rokwzgl=7 i lp=61000</v>
      </c>
      <c r="M58" s="13" t="str">
        <f t="shared" si="19"/>
        <v>rokwzgl=8 i lp=61000</v>
      </c>
      <c r="N58" s="13" t="str">
        <f t="shared" si="20"/>
        <v>rokwzgl=9 i lp=61000</v>
      </c>
      <c r="O58" s="13" t="str">
        <f t="shared" si="20"/>
        <v>rokwzgl=10 i lp=61000</v>
      </c>
      <c r="P58" s="13" t="str">
        <f t="shared" si="20"/>
        <v>rokwzgl=11 i lp=61000</v>
      </c>
      <c r="Q58" s="13" t="str">
        <f t="shared" si="20"/>
        <v>rokwzgl=12 i lp=61000</v>
      </c>
      <c r="R58" s="13" t="str">
        <f t="shared" si="20"/>
        <v>rokwzgl=13 i lp=61000</v>
      </c>
      <c r="S58" s="13" t="str">
        <f t="shared" si="20"/>
        <v>rokwzgl=14 i lp=61000</v>
      </c>
      <c r="T58" s="13" t="str">
        <f t="shared" si="20"/>
        <v>rokwzgl=15 i lp=61000</v>
      </c>
      <c r="U58" s="13" t="str">
        <f t="shared" si="20"/>
        <v>rokwzgl=16 i lp=61000</v>
      </c>
      <c r="V58" s="13" t="str">
        <f t="shared" si="20"/>
        <v>rokwzgl=17 i lp=61000</v>
      </c>
      <c r="W58" s="13" t="str">
        <f t="shared" si="20"/>
        <v>rokwzgl=18 i lp=61000</v>
      </c>
      <c r="X58" s="13" t="str">
        <f t="shared" si="18"/>
        <v>rokwzgl=19 i lp=61000</v>
      </c>
      <c r="Y58" s="13" t="str">
        <f t="shared" si="18"/>
        <v>rokwzgl=20 i lp=61000</v>
      </c>
      <c r="Z58" s="13" t="str">
        <f t="shared" si="18"/>
        <v>rokwzgl=21 i lp=61000</v>
      </c>
      <c r="AA58" s="13" t="str">
        <f t="shared" si="18"/>
        <v>rokwzgl=22 i lp=61000</v>
      </c>
      <c r="AB58" s="13" t="str">
        <f t="shared" si="18"/>
        <v>rokwzgl=23 i lp=61000</v>
      </c>
      <c r="AC58" s="13" t="str">
        <f t="shared" si="18"/>
        <v>rokwzgl=24 i lp=61000</v>
      </c>
      <c r="AD58" s="13" t="str">
        <f t="shared" si="18"/>
        <v>rokwzgl=25 i lp=61000</v>
      </c>
      <c r="AE58" s="13" t="str">
        <f t="shared" si="18"/>
        <v>rokwzgl=26 i lp=61000</v>
      </c>
      <c r="AF58" s="13" t="str">
        <f t="shared" si="18"/>
        <v>rokwzgl=27 i lp=61000</v>
      </c>
      <c r="AG58" s="13" t="str">
        <f t="shared" si="18"/>
        <v>rokwzgl=28 i lp=61000</v>
      </c>
      <c r="AH58" s="13" t="str">
        <f t="shared" si="18"/>
        <v>rokwzgl=29 i lp=61000</v>
      </c>
      <c r="AI58" s="13" t="str">
        <f t="shared" si="18"/>
        <v>rokwzgl=30 i lp=61000</v>
      </c>
      <c r="AJ58" s="13" t="str">
        <f t="shared" si="14"/>
        <v>rokwzgl=31 i lp=61000</v>
      </c>
      <c r="AK58" s="13" t="str">
        <f t="shared" si="14"/>
        <v>rokwzgl=32 i lp=61000</v>
      </c>
      <c r="AL58" s="13" t="str">
        <f t="shared" si="14"/>
        <v>rokwzgl=33 i lp=61000</v>
      </c>
      <c r="AM58" s="13" t="str">
        <f t="shared" si="14"/>
        <v>rokwzgl=34 i lp=61000</v>
      </c>
      <c r="AN58" s="13" t="str">
        <f t="shared" si="10"/>
        <v>rokwzgl=35 i lp=61000</v>
      </c>
      <c r="AO58" s="13" t="str">
        <f t="shared" si="10"/>
        <v>rokwzgl=36 i lp=61000</v>
      </c>
      <c r="AP58" s="13" t="str">
        <f t="shared" si="10"/>
        <v>rokwzgl=37 i lp=61000</v>
      </c>
      <c r="AQ58" s="13" t="str">
        <f t="shared" si="10"/>
        <v>rokwzgl=38 i lp=61000</v>
      </c>
      <c r="AR58" s="13" t="str">
        <f t="shared" si="10"/>
        <v>rokwzgl=39 i lp=61000</v>
      </c>
    </row>
    <row r="59" spans="1:44">
      <c r="A59" s="29">
        <v>70000</v>
      </c>
      <c r="B59" s="12">
        <v>7</v>
      </c>
      <c r="C59" s="13" t="s">
        <v>57</v>
      </c>
      <c r="D59" s="13" t="str">
        <f t="shared" si="19"/>
        <v>rokwzgl=0 i lp=70000</v>
      </c>
      <c r="E59" s="13" t="str">
        <f t="shared" si="19"/>
        <v>rokwzgl=0 i lp=70000</v>
      </c>
      <c r="F59" s="13" t="str">
        <f t="shared" si="19"/>
        <v>rokwzgl=1 i lp=70000</v>
      </c>
      <c r="G59" s="13" t="str">
        <f t="shared" si="19"/>
        <v>rokwzgl=2 i lp=70000</v>
      </c>
      <c r="H59" s="13" t="str">
        <f t="shared" si="19"/>
        <v>rokwzgl=3 i lp=70000</v>
      </c>
      <c r="I59" s="13" t="str">
        <f t="shared" si="19"/>
        <v>rokwzgl=4 i lp=70000</v>
      </c>
      <c r="J59" s="13" t="str">
        <f t="shared" si="19"/>
        <v>rokwzgl=5 i lp=70000</v>
      </c>
      <c r="K59" s="13" t="str">
        <f t="shared" si="19"/>
        <v>rokwzgl=6 i lp=70000</v>
      </c>
      <c r="L59" s="13" t="str">
        <f t="shared" si="19"/>
        <v>rokwzgl=7 i lp=70000</v>
      </c>
      <c r="M59" s="13" t="str">
        <f t="shared" si="19"/>
        <v>rokwzgl=8 i lp=70000</v>
      </c>
      <c r="N59" s="13" t="str">
        <f t="shared" si="20"/>
        <v>rokwzgl=9 i lp=70000</v>
      </c>
      <c r="O59" s="13" t="str">
        <f t="shared" si="20"/>
        <v>rokwzgl=10 i lp=70000</v>
      </c>
      <c r="P59" s="13" t="str">
        <f t="shared" si="20"/>
        <v>rokwzgl=11 i lp=70000</v>
      </c>
      <c r="Q59" s="13" t="str">
        <f t="shared" si="20"/>
        <v>rokwzgl=12 i lp=70000</v>
      </c>
      <c r="R59" s="13" t="str">
        <f t="shared" si="20"/>
        <v>rokwzgl=13 i lp=70000</v>
      </c>
      <c r="S59" s="13" t="str">
        <f t="shared" si="20"/>
        <v>rokwzgl=14 i lp=70000</v>
      </c>
      <c r="T59" s="13" t="str">
        <f t="shared" si="20"/>
        <v>rokwzgl=15 i lp=70000</v>
      </c>
      <c r="U59" s="13" t="str">
        <f t="shared" si="20"/>
        <v>rokwzgl=16 i lp=70000</v>
      </c>
      <c r="V59" s="13" t="str">
        <f t="shared" si="20"/>
        <v>rokwzgl=17 i lp=70000</v>
      </c>
      <c r="W59" s="13" t="str">
        <f t="shared" si="20"/>
        <v>rokwzgl=18 i lp=70000</v>
      </c>
      <c r="X59" s="13" t="str">
        <f t="shared" si="18"/>
        <v>rokwzgl=19 i lp=70000</v>
      </c>
      <c r="Y59" s="13" t="str">
        <f t="shared" si="18"/>
        <v>rokwzgl=20 i lp=70000</v>
      </c>
      <c r="Z59" s="13" t="str">
        <f t="shared" si="18"/>
        <v>rokwzgl=21 i lp=70000</v>
      </c>
      <c r="AA59" s="13" t="str">
        <f t="shared" si="18"/>
        <v>rokwzgl=22 i lp=70000</v>
      </c>
      <c r="AB59" s="13" t="str">
        <f t="shared" si="18"/>
        <v>rokwzgl=23 i lp=70000</v>
      </c>
      <c r="AC59" s="13" t="str">
        <f t="shared" si="18"/>
        <v>rokwzgl=24 i lp=70000</v>
      </c>
      <c r="AD59" s="13" t="str">
        <f t="shared" si="18"/>
        <v>rokwzgl=25 i lp=70000</v>
      </c>
      <c r="AE59" s="13" t="str">
        <f t="shared" si="18"/>
        <v>rokwzgl=26 i lp=70000</v>
      </c>
      <c r="AF59" s="13" t="str">
        <f t="shared" si="18"/>
        <v>rokwzgl=27 i lp=70000</v>
      </c>
      <c r="AG59" s="13" t="str">
        <f t="shared" si="18"/>
        <v>rokwzgl=28 i lp=70000</v>
      </c>
      <c r="AH59" s="13" t="str">
        <f t="shared" si="18"/>
        <v>rokwzgl=29 i lp=70000</v>
      </c>
      <c r="AI59" s="13" t="str">
        <f t="shared" si="18"/>
        <v>rokwzgl=30 i lp=70000</v>
      </c>
      <c r="AJ59" s="13" t="str">
        <f t="shared" ref="AJ59:AM80" si="21">+"rokwzgl="&amp;AJ$9&amp;" i lp="&amp;$A59</f>
        <v>rokwzgl=31 i lp=70000</v>
      </c>
      <c r="AK59" s="13" t="str">
        <f t="shared" si="21"/>
        <v>rokwzgl=32 i lp=70000</v>
      </c>
      <c r="AL59" s="13" t="str">
        <f t="shared" si="21"/>
        <v>rokwzgl=33 i lp=70000</v>
      </c>
      <c r="AM59" s="13" t="str">
        <f t="shared" si="21"/>
        <v>rokwzgl=34 i lp=70000</v>
      </c>
      <c r="AN59" s="13" t="str">
        <f t="shared" si="10"/>
        <v>rokwzgl=35 i lp=70000</v>
      </c>
      <c r="AO59" s="13" t="str">
        <f t="shared" si="10"/>
        <v>rokwzgl=36 i lp=70000</v>
      </c>
      <c r="AP59" s="13" t="str">
        <f t="shared" si="10"/>
        <v>rokwzgl=37 i lp=70000</v>
      </c>
      <c r="AQ59" s="13" t="str">
        <f t="shared" si="10"/>
        <v>rokwzgl=38 i lp=70000</v>
      </c>
      <c r="AR59" s="13" t="str">
        <f t="shared" si="10"/>
        <v>rokwzgl=39 i lp=70000</v>
      </c>
    </row>
    <row r="60" spans="1:44">
      <c r="A60" s="29">
        <v>71000</v>
      </c>
      <c r="B60" s="12" t="s">
        <v>229</v>
      </c>
      <c r="C60" s="13" t="s">
        <v>150</v>
      </c>
      <c r="D60" s="13" t="str">
        <f t="shared" si="19"/>
        <v>rokwzgl=0 i lp=71000</v>
      </c>
      <c r="E60" s="13" t="str">
        <f t="shared" si="19"/>
        <v>rokwzgl=0 i lp=71000</v>
      </c>
      <c r="F60" s="13" t="str">
        <f t="shared" si="19"/>
        <v>rokwzgl=1 i lp=71000</v>
      </c>
      <c r="G60" s="13" t="str">
        <f t="shared" si="19"/>
        <v>rokwzgl=2 i lp=71000</v>
      </c>
      <c r="H60" s="13" t="str">
        <f t="shared" si="19"/>
        <v>rokwzgl=3 i lp=71000</v>
      </c>
      <c r="I60" s="13" t="str">
        <f t="shared" si="19"/>
        <v>rokwzgl=4 i lp=71000</v>
      </c>
      <c r="J60" s="13" t="str">
        <f t="shared" si="19"/>
        <v>rokwzgl=5 i lp=71000</v>
      </c>
      <c r="K60" s="13" t="str">
        <f t="shared" si="19"/>
        <v>rokwzgl=6 i lp=71000</v>
      </c>
      <c r="L60" s="13" t="str">
        <f t="shared" si="19"/>
        <v>rokwzgl=7 i lp=71000</v>
      </c>
      <c r="M60" s="13" t="str">
        <f t="shared" si="19"/>
        <v>rokwzgl=8 i lp=71000</v>
      </c>
      <c r="N60" s="13" t="str">
        <f t="shared" si="20"/>
        <v>rokwzgl=9 i lp=71000</v>
      </c>
      <c r="O60" s="13" t="str">
        <f t="shared" si="20"/>
        <v>rokwzgl=10 i lp=71000</v>
      </c>
      <c r="P60" s="13" t="str">
        <f t="shared" si="20"/>
        <v>rokwzgl=11 i lp=71000</v>
      </c>
      <c r="Q60" s="13" t="str">
        <f t="shared" si="20"/>
        <v>rokwzgl=12 i lp=71000</v>
      </c>
      <c r="R60" s="13" t="str">
        <f t="shared" si="20"/>
        <v>rokwzgl=13 i lp=71000</v>
      </c>
      <c r="S60" s="13" t="str">
        <f t="shared" si="20"/>
        <v>rokwzgl=14 i lp=71000</v>
      </c>
      <c r="T60" s="13" t="str">
        <f t="shared" si="20"/>
        <v>rokwzgl=15 i lp=71000</v>
      </c>
      <c r="U60" s="13" t="str">
        <f t="shared" si="20"/>
        <v>rokwzgl=16 i lp=71000</v>
      </c>
      <c r="V60" s="13" t="str">
        <f t="shared" si="20"/>
        <v>rokwzgl=17 i lp=71000</v>
      </c>
      <c r="W60" s="13" t="str">
        <f t="shared" si="20"/>
        <v>rokwzgl=18 i lp=71000</v>
      </c>
      <c r="X60" s="13" t="str">
        <f t="shared" ref="X60:AI70" si="22">+"rokwzgl="&amp;X$9&amp;" i lp="&amp;$A60</f>
        <v>rokwzgl=19 i lp=71000</v>
      </c>
      <c r="Y60" s="13" t="str">
        <f t="shared" si="22"/>
        <v>rokwzgl=20 i lp=71000</v>
      </c>
      <c r="Z60" s="13" t="str">
        <f t="shared" si="22"/>
        <v>rokwzgl=21 i lp=71000</v>
      </c>
      <c r="AA60" s="13" t="str">
        <f t="shared" si="22"/>
        <v>rokwzgl=22 i lp=71000</v>
      </c>
      <c r="AB60" s="13" t="str">
        <f t="shared" si="22"/>
        <v>rokwzgl=23 i lp=71000</v>
      </c>
      <c r="AC60" s="13" t="str">
        <f t="shared" si="22"/>
        <v>rokwzgl=24 i lp=71000</v>
      </c>
      <c r="AD60" s="13" t="str">
        <f t="shared" si="22"/>
        <v>rokwzgl=25 i lp=71000</v>
      </c>
      <c r="AE60" s="13" t="str">
        <f t="shared" si="22"/>
        <v>rokwzgl=26 i lp=71000</v>
      </c>
      <c r="AF60" s="13" t="str">
        <f t="shared" si="22"/>
        <v>rokwzgl=27 i lp=71000</v>
      </c>
      <c r="AG60" s="13" t="str">
        <f t="shared" si="22"/>
        <v>rokwzgl=28 i lp=71000</v>
      </c>
      <c r="AH60" s="13" t="str">
        <f t="shared" si="22"/>
        <v>rokwzgl=29 i lp=71000</v>
      </c>
      <c r="AI60" s="13" t="str">
        <f t="shared" si="22"/>
        <v>rokwzgl=30 i lp=71000</v>
      </c>
      <c r="AJ60" s="13" t="str">
        <f t="shared" si="21"/>
        <v>rokwzgl=31 i lp=71000</v>
      </c>
      <c r="AK60" s="13" t="str">
        <f t="shared" si="21"/>
        <v>rokwzgl=32 i lp=71000</v>
      </c>
      <c r="AL60" s="13" t="str">
        <f t="shared" si="21"/>
        <v>rokwzgl=33 i lp=71000</v>
      </c>
      <c r="AM60" s="13" t="str">
        <f t="shared" si="21"/>
        <v>rokwzgl=34 i lp=71000</v>
      </c>
      <c r="AN60" s="13" t="str">
        <f t="shared" si="10"/>
        <v>rokwzgl=35 i lp=71000</v>
      </c>
      <c r="AO60" s="13" t="str">
        <f t="shared" si="10"/>
        <v>rokwzgl=36 i lp=71000</v>
      </c>
      <c r="AP60" s="13" t="str">
        <f t="shared" si="10"/>
        <v>rokwzgl=37 i lp=71000</v>
      </c>
      <c r="AQ60" s="13" t="str">
        <f t="shared" si="10"/>
        <v>rokwzgl=38 i lp=71000</v>
      </c>
      <c r="AR60" s="13" t="str">
        <f t="shared" si="10"/>
        <v>rokwzgl=39 i lp=71000</v>
      </c>
    </row>
    <row r="61" spans="1:44">
      <c r="A61" s="29">
        <v>72000</v>
      </c>
      <c r="B61" s="12" t="s">
        <v>230</v>
      </c>
      <c r="C61" s="13" t="s">
        <v>151</v>
      </c>
      <c r="D61" s="13" t="str">
        <f t="shared" si="19"/>
        <v>rokwzgl=0 i lp=72000</v>
      </c>
      <c r="E61" s="13" t="str">
        <f t="shared" si="19"/>
        <v>rokwzgl=0 i lp=72000</v>
      </c>
      <c r="F61" s="13" t="str">
        <f t="shared" si="19"/>
        <v>rokwzgl=1 i lp=72000</v>
      </c>
      <c r="G61" s="13" t="str">
        <f t="shared" si="19"/>
        <v>rokwzgl=2 i lp=72000</v>
      </c>
      <c r="H61" s="13" t="str">
        <f t="shared" si="19"/>
        <v>rokwzgl=3 i lp=72000</v>
      </c>
      <c r="I61" s="13" t="str">
        <f t="shared" si="19"/>
        <v>rokwzgl=4 i lp=72000</v>
      </c>
      <c r="J61" s="13" t="str">
        <f t="shared" si="19"/>
        <v>rokwzgl=5 i lp=72000</v>
      </c>
      <c r="K61" s="13" t="str">
        <f t="shared" si="19"/>
        <v>rokwzgl=6 i lp=72000</v>
      </c>
      <c r="L61" s="13" t="str">
        <f t="shared" si="19"/>
        <v>rokwzgl=7 i lp=72000</v>
      </c>
      <c r="M61" s="13" t="str">
        <f t="shared" si="19"/>
        <v>rokwzgl=8 i lp=72000</v>
      </c>
      <c r="N61" s="13" t="str">
        <f t="shared" si="20"/>
        <v>rokwzgl=9 i lp=72000</v>
      </c>
      <c r="O61" s="13" t="str">
        <f t="shared" si="20"/>
        <v>rokwzgl=10 i lp=72000</v>
      </c>
      <c r="P61" s="13" t="str">
        <f t="shared" si="20"/>
        <v>rokwzgl=11 i lp=72000</v>
      </c>
      <c r="Q61" s="13" t="str">
        <f t="shared" si="20"/>
        <v>rokwzgl=12 i lp=72000</v>
      </c>
      <c r="R61" s="13" t="str">
        <f t="shared" si="20"/>
        <v>rokwzgl=13 i lp=72000</v>
      </c>
      <c r="S61" s="13" t="str">
        <f t="shared" si="20"/>
        <v>rokwzgl=14 i lp=72000</v>
      </c>
      <c r="T61" s="13" t="str">
        <f t="shared" si="20"/>
        <v>rokwzgl=15 i lp=72000</v>
      </c>
      <c r="U61" s="13" t="str">
        <f t="shared" si="20"/>
        <v>rokwzgl=16 i lp=72000</v>
      </c>
      <c r="V61" s="13" t="str">
        <f t="shared" si="20"/>
        <v>rokwzgl=17 i lp=72000</v>
      </c>
      <c r="W61" s="13" t="str">
        <f t="shared" si="20"/>
        <v>rokwzgl=18 i lp=72000</v>
      </c>
      <c r="X61" s="13" t="str">
        <f t="shared" si="22"/>
        <v>rokwzgl=19 i lp=72000</v>
      </c>
      <c r="Y61" s="13" t="str">
        <f t="shared" si="22"/>
        <v>rokwzgl=20 i lp=72000</v>
      </c>
      <c r="Z61" s="13" t="str">
        <f t="shared" si="22"/>
        <v>rokwzgl=21 i lp=72000</v>
      </c>
      <c r="AA61" s="13" t="str">
        <f t="shared" si="22"/>
        <v>rokwzgl=22 i lp=72000</v>
      </c>
      <c r="AB61" s="13" t="str">
        <f t="shared" si="22"/>
        <v>rokwzgl=23 i lp=72000</v>
      </c>
      <c r="AC61" s="13" t="str">
        <f t="shared" si="22"/>
        <v>rokwzgl=24 i lp=72000</v>
      </c>
      <c r="AD61" s="13" t="str">
        <f t="shared" si="22"/>
        <v>rokwzgl=25 i lp=72000</v>
      </c>
      <c r="AE61" s="13" t="str">
        <f t="shared" si="22"/>
        <v>rokwzgl=26 i lp=72000</v>
      </c>
      <c r="AF61" s="13" t="str">
        <f t="shared" si="22"/>
        <v>rokwzgl=27 i lp=72000</v>
      </c>
      <c r="AG61" s="13" t="str">
        <f t="shared" si="22"/>
        <v>rokwzgl=28 i lp=72000</v>
      </c>
      <c r="AH61" s="13" t="str">
        <f t="shared" si="22"/>
        <v>rokwzgl=29 i lp=72000</v>
      </c>
      <c r="AI61" s="13" t="str">
        <f t="shared" si="22"/>
        <v>rokwzgl=30 i lp=72000</v>
      </c>
      <c r="AJ61" s="13" t="str">
        <f t="shared" si="21"/>
        <v>rokwzgl=31 i lp=72000</v>
      </c>
      <c r="AK61" s="13" t="str">
        <f t="shared" si="21"/>
        <v>rokwzgl=32 i lp=72000</v>
      </c>
      <c r="AL61" s="13" t="str">
        <f t="shared" si="21"/>
        <v>rokwzgl=33 i lp=72000</v>
      </c>
      <c r="AM61" s="13" t="str">
        <f t="shared" si="21"/>
        <v>rokwzgl=34 i lp=72000</v>
      </c>
      <c r="AN61" s="13" t="str">
        <f t="shared" si="10"/>
        <v>rokwzgl=35 i lp=72000</v>
      </c>
      <c r="AO61" s="13" t="str">
        <f t="shared" si="10"/>
        <v>rokwzgl=36 i lp=72000</v>
      </c>
      <c r="AP61" s="13" t="str">
        <f t="shared" si="10"/>
        <v>rokwzgl=37 i lp=72000</v>
      </c>
      <c r="AQ61" s="13" t="str">
        <f t="shared" si="10"/>
        <v>rokwzgl=38 i lp=72000</v>
      </c>
      <c r="AR61" s="13" t="str">
        <f t="shared" si="10"/>
        <v>rokwzgl=39 i lp=72000</v>
      </c>
    </row>
    <row r="62" spans="1:44">
      <c r="A62" s="29">
        <v>80000</v>
      </c>
      <c r="B62" s="12">
        <v>8</v>
      </c>
      <c r="C62" s="13" t="s">
        <v>60</v>
      </c>
      <c r="D62" s="13" t="str">
        <f t="shared" si="19"/>
        <v>rokwzgl=0 i lp=80000</v>
      </c>
      <c r="E62" s="13" t="str">
        <f t="shared" si="19"/>
        <v>rokwzgl=0 i lp=80000</v>
      </c>
      <c r="F62" s="13" t="str">
        <f t="shared" si="19"/>
        <v>rokwzgl=1 i lp=80000</v>
      </c>
      <c r="G62" s="13" t="str">
        <f t="shared" si="19"/>
        <v>rokwzgl=2 i lp=80000</v>
      </c>
      <c r="H62" s="13" t="str">
        <f t="shared" si="19"/>
        <v>rokwzgl=3 i lp=80000</v>
      </c>
      <c r="I62" s="13" t="str">
        <f t="shared" si="19"/>
        <v>rokwzgl=4 i lp=80000</v>
      </c>
      <c r="J62" s="13" t="str">
        <f t="shared" si="19"/>
        <v>rokwzgl=5 i lp=80000</v>
      </c>
      <c r="K62" s="13" t="str">
        <f t="shared" si="19"/>
        <v>rokwzgl=6 i lp=80000</v>
      </c>
      <c r="L62" s="13" t="str">
        <f t="shared" si="19"/>
        <v>rokwzgl=7 i lp=80000</v>
      </c>
      <c r="M62" s="13" t="str">
        <f t="shared" si="19"/>
        <v>rokwzgl=8 i lp=80000</v>
      </c>
      <c r="N62" s="13" t="str">
        <f t="shared" si="20"/>
        <v>rokwzgl=9 i lp=80000</v>
      </c>
      <c r="O62" s="13" t="str">
        <f t="shared" si="20"/>
        <v>rokwzgl=10 i lp=80000</v>
      </c>
      <c r="P62" s="13" t="str">
        <f t="shared" si="20"/>
        <v>rokwzgl=11 i lp=80000</v>
      </c>
      <c r="Q62" s="13" t="str">
        <f t="shared" si="20"/>
        <v>rokwzgl=12 i lp=80000</v>
      </c>
      <c r="R62" s="13" t="str">
        <f t="shared" si="20"/>
        <v>rokwzgl=13 i lp=80000</v>
      </c>
      <c r="S62" s="13" t="str">
        <f t="shared" si="20"/>
        <v>rokwzgl=14 i lp=80000</v>
      </c>
      <c r="T62" s="13" t="str">
        <f t="shared" si="20"/>
        <v>rokwzgl=15 i lp=80000</v>
      </c>
      <c r="U62" s="13" t="str">
        <f t="shared" si="20"/>
        <v>rokwzgl=16 i lp=80000</v>
      </c>
      <c r="V62" s="13" t="str">
        <f t="shared" si="20"/>
        <v>rokwzgl=17 i lp=80000</v>
      </c>
      <c r="W62" s="13" t="str">
        <f t="shared" si="20"/>
        <v>rokwzgl=18 i lp=80000</v>
      </c>
      <c r="X62" s="13" t="str">
        <f t="shared" si="22"/>
        <v>rokwzgl=19 i lp=80000</v>
      </c>
      <c r="Y62" s="13" t="str">
        <f t="shared" si="22"/>
        <v>rokwzgl=20 i lp=80000</v>
      </c>
      <c r="Z62" s="13" t="str">
        <f t="shared" si="22"/>
        <v>rokwzgl=21 i lp=80000</v>
      </c>
      <c r="AA62" s="13" t="str">
        <f t="shared" si="22"/>
        <v>rokwzgl=22 i lp=80000</v>
      </c>
      <c r="AB62" s="13" t="str">
        <f t="shared" si="22"/>
        <v>rokwzgl=23 i lp=80000</v>
      </c>
      <c r="AC62" s="13" t="str">
        <f t="shared" si="22"/>
        <v>rokwzgl=24 i lp=80000</v>
      </c>
      <c r="AD62" s="13" t="str">
        <f t="shared" si="22"/>
        <v>rokwzgl=25 i lp=80000</v>
      </c>
      <c r="AE62" s="13" t="str">
        <f t="shared" si="22"/>
        <v>rokwzgl=26 i lp=80000</v>
      </c>
      <c r="AF62" s="13" t="str">
        <f t="shared" si="22"/>
        <v>rokwzgl=27 i lp=80000</v>
      </c>
      <c r="AG62" s="13" t="str">
        <f t="shared" si="22"/>
        <v>rokwzgl=28 i lp=80000</v>
      </c>
      <c r="AH62" s="13" t="str">
        <f t="shared" si="22"/>
        <v>rokwzgl=29 i lp=80000</v>
      </c>
      <c r="AI62" s="13" t="str">
        <f t="shared" si="22"/>
        <v>rokwzgl=30 i lp=80000</v>
      </c>
      <c r="AJ62" s="13" t="str">
        <f t="shared" si="21"/>
        <v>rokwzgl=31 i lp=80000</v>
      </c>
      <c r="AK62" s="13" t="str">
        <f t="shared" si="21"/>
        <v>rokwzgl=32 i lp=80000</v>
      </c>
      <c r="AL62" s="13" t="str">
        <f t="shared" si="21"/>
        <v>rokwzgl=33 i lp=80000</v>
      </c>
      <c r="AM62" s="13" t="str">
        <f t="shared" si="21"/>
        <v>rokwzgl=34 i lp=80000</v>
      </c>
      <c r="AN62" s="13" t="str">
        <f t="shared" si="10"/>
        <v>rokwzgl=35 i lp=80000</v>
      </c>
      <c r="AO62" s="13" t="str">
        <f t="shared" si="10"/>
        <v>rokwzgl=36 i lp=80000</v>
      </c>
      <c r="AP62" s="13" t="str">
        <f t="shared" si="10"/>
        <v>rokwzgl=37 i lp=80000</v>
      </c>
      <c r="AQ62" s="13" t="str">
        <f t="shared" si="10"/>
        <v>rokwzgl=38 i lp=80000</v>
      </c>
      <c r="AR62" s="13" t="str">
        <f t="shared" si="10"/>
        <v>rokwzgl=39 i lp=80000</v>
      </c>
    </row>
    <row r="63" spans="1:44">
      <c r="A63" s="29">
        <v>81000</v>
      </c>
      <c r="B63" s="12" t="s">
        <v>58</v>
      </c>
      <c r="C63" s="13" t="s">
        <v>152</v>
      </c>
      <c r="D63" s="13" t="str">
        <f t="shared" si="19"/>
        <v>rokwzgl=0 i lp=81000</v>
      </c>
      <c r="E63" s="13" t="str">
        <f t="shared" si="19"/>
        <v>rokwzgl=0 i lp=81000</v>
      </c>
      <c r="F63" s="13" t="str">
        <f t="shared" si="19"/>
        <v>rokwzgl=1 i lp=81000</v>
      </c>
      <c r="G63" s="13" t="str">
        <f t="shared" si="19"/>
        <v>rokwzgl=2 i lp=81000</v>
      </c>
      <c r="H63" s="13" t="str">
        <f t="shared" si="19"/>
        <v>rokwzgl=3 i lp=81000</v>
      </c>
      <c r="I63" s="13" t="str">
        <f t="shared" si="19"/>
        <v>rokwzgl=4 i lp=81000</v>
      </c>
      <c r="J63" s="13" t="str">
        <f t="shared" si="19"/>
        <v>rokwzgl=5 i lp=81000</v>
      </c>
      <c r="K63" s="13" t="str">
        <f t="shared" si="19"/>
        <v>rokwzgl=6 i lp=81000</v>
      </c>
      <c r="L63" s="13" t="str">
        <f t="shared" si="19"/>
        <v>rokwzgl=7 i lp=81000</v>
      </c>
      <c r="M63" s="13" t="str">
        <f t="shared" si="19"/>
        <v>rokwzgl=8 i lp=81000</v>
      </c>
      <c r="N63" s="13" t="str">
        <f t="shared" si="20"/>
        <v>rokwzgl=9 i lp=81000</v>
      </c>
      <c r="O63" s="13" t="str">
        <f t="shared" si="20"/>
        <v>rokwzgl=10 i lp=81000</v>
      </c>
      <c r="P63" s="13" t="str">
        <f t="shared" si="20"/>
        <v>rokwzgl=11 i lp=81000</v>
      </c>
      <c r="Q63" s="13" t="str">
        <f t="shared" si="20"/>
        <v>rokwzgl=12 i lp=81000</v>
      </c>
      <c r="R63" s="13" t="str">
        <f t="shared" si="20"/>
        <v>rokwzgl=13 i lp=81000</v>
      </c>
      <c r="S63" s="13" t="str">
        <f t="shared" si="20"/>
        <v>rokwzgl=14 i lp=81000</v>
      </c>
      <c r="T63" s="13" t="str">
        <f t="shared" si="20"/>
        <v>rokwzgl=15 i lp=81000</v>
      </c>
      <c r="U63" s="13" t="str">
        <f t="shared" si="20"/>
        <v>rokwzgl=16 i lp=81000</v>
      </c>
      <c r="V63" s="13" t="str">
        <f t="shared" si="20"/>
        <v>rokwzgl=17 i lp=81000</v>
      </c>
      <c r="W63" s="13" t="str">
        <f t="shared" si="20"/>
        <v>rokwzgl=18 i lp=81000</v>
      </c>
      <c r="X63" s="13" t="str">
        <f t="shared" si="22"/>
        <v>rokwzgl=19 i lp=81000</v>
      </c>
      <c r="Y63" s="13" t="str">
        <f t="shared" si="22"/>
        <v>rokwzgl=20 i lp=81000</v>
      </c>
      <c r="Z63" s="13" t="str">
        <f t="shared" si="22"/>
        <v>rokwzgl=21 i lp=81000</v>
      </c>
      <c r="AA63" s="13" t="str">
        <f t="shared" si="22"/>
        <v>rokwzgl=22 i lp=81000</v>
      </c>
      <c r="AB63" s="13" t="str">
        <f t="shared" si="22"/>
        <v>rokwzgl=23 i lp=81000</v>
      </c>
      <c r="AC63" s="13" t="str">
        <f t="shared" si="22"/>
        <v>rokwzgl=24 i lp=81000</v>
      </c>
      <c r="AD63" s="13" t="str">
        <f t="shared" si="22"/>
        <v>rokwzgl=25 i lp=81000</v>
      </c>
      <c r="AE63" s="13" t="str">
        <f t="shared" si="22"/>
        <v>rokwzgl=26 i lp=81000</v>
      </c>
      <c r="AF63" s="13" t="str">
        <f t="shared" si="22"/>
        <v>rokwzgl=27 i lp=81000</v>
      </c>
      <c r="AG63" s="13" t="str">
        <f t="shared" si="22"/>
        <v>rokwzgl=28 i lp=81000</v>
      </c>
      <c r="AH63" s="13" t="str">
        <f t="shared" si="22"/>
        <v>rokwzgl=29 i lp=81000</v>
      </c>
      <c r="AI63" s="13" t="str">
        <f t="shared" si="22"/>
        <v>rokwzgl=30 i lp=81000</v>
      </c>
      <c r="AJ63" s="13" t="str">
        <f t="shared" si="21"/>
        <v>rokwzgl=31 i lp=81000</v>
      </c>
      <c r="AK63" s="13" t="str">
        <f t="shared" si="21"/>
        <v>rokwzgl=32 i lp=81000</v>
      </c>
      <c r="AL63" s="13" t="str">
        <f t="shared" si="21"/>
        <v>rokwzgl=33 i lp=81000</v>
      </c>
      <c r="AM63" s="13" t="str">
        <f t="shared" si="21"/>
        <v>rokwzgl=34 i lp=81000</v>
      </c>
      <c r="AN63" s="13" t="str">
        <f t="shared" si="10"/>
        <v>rokwzgl=35 i lp=81000</v>
      </c>
      <c r="AO63" s="13" t="str">
        <f t="shared" si="10"/>
        <v>rokwzgl=36 i lp=81000</v>
      </c>
      <c r="AP63" s="13" t="str">
        <f t="shared" si="10"/>
        <v>rokwzgl=37 i lp=81000</v>
      </c>
      <c r="AQ63" s="13" t="str">
        <f t="shared" si="10"/>
        <v>rokwzgl=38 i lp=81000</v>
      </c>
      <c r="AR63" s="13" t="str">
        <f t="shared" si="10"/>
        <v>rokwzgl=39 i lp=81000</v>
      </c>
    </row>
    <row r="64" spans="1:44">
      <c r="A64" s="29">
        <v>81220</v>
      </c>
      <c r="B64" s="12" t="s">
        <v>205</v>
      </c>
      <c r="C64" s="13" t="s">
        <v>153</v>
      </c>
      <c r="D64" s="13" t="str">
        <f t="shared" si="19"/>
        <v>rokwzgl=0 i lp=81220</v>
      </c>
      <c r="E64" s="13" t="str">
        <f t="shared" si="19"/>
        <v>rokwzgl=0 i lp=81220</v>
      </c>
      <c r="F64" s="13" t="str">
        <f t="shared" si="19"/>
        <v>rokwzgl=1 i lp=81220</v>
      </c>
      <c r="G64" s="13" t="str">
        <f t="shared" si="19"/>
        <v>rokwzgl=2 i lp=81220</v>
      </c>
      <c r="H64" s="13" t="str">
        <f t="shared" si="19"/>
        <v>rokwzgl=3 i lp=81220</v>
      </c>
      <c r="I64" s="13" t="str">
        <f t="shared" si="19"/>
        <v>rokwzgl=4 i lp=81220</v>
      </c>
      <c r="J64" s="13" t="str">
        <f t="shared" si="19"/>
        <v>rokwzgl=5 i lp=81220</v>
      </c>
      <c r="K64" s="13" t="str">
        <f t="shared" si="19"/>
        <v>rokwzgl=6 i lp=81220</v>
      </c>
      <c r="L64" s="13" t="str">
        <f t="shared" si="19"/>
        <v>rokwzgl=7 i lp=81220</v>
      </c>
      <c r="M64" s="13" t="str">
        <f t="shared" si="19"/>
        <v>rokwzgl=8 i lp=81220</v>
      </c>
      <c r="N64" s="13" t="str">
        <f t="shared" si="20"/>
        <v>rokwzgl=9 i lp=81220</v>
      </c>
      <c r="O64" s="13" t="str">
        <f t="shared" si="20"/>
        <v>rokwzgl=10 i lp=81220</v>
      </c>
      <c r="P64" s="13" t="str">
        <f t="shared" si="20"/>
        <v>rokwzgl=11 i lp=81220</v>
      </c>
      <c r="Q64" s="13" t="str">
        <f t="shared" si="20"/>
        <v>rokwzgl=12 i lp=81220</v>
      </c>
      <c r="R64" s="13" t="str">
        <f t="shared" si="20"/>
        <v>rokwzgl=13 i lp=81220</v>
      </c>
      <c r="S64" s="13" t="str">
        <f t="shared" si="20"/>
        <v>rokwzgl=14 i lp=81220</v>
      </c>
      <c r="T64" s="13" t="str">
        <f t="shared" si="20"/>
        <v>rokwzgl=15 i lp=81220</v>
      </c>
      <c r="U64" s="13" t="str">
        <f t="shared" si="20"/>
        <v>rokwzgl=16 i lp=81220</v>
      </c>
      <c r="V64" s="13" t="str">
        <f t="shared" si="20"/>
        <v>rokwzgl=17 i lp=81220</v>
      </c>
      <c r="W64" s="13" t="str">
        <f t="shared" si="20"/>
        <v>rokwzgl=18 i lp=81220</v>
      </c>
      <c r="X64" s="13" t="str">
        <f t="shared" si="22"/>
        <v>rokwzgl=19 i lp=81220</v>
      </c>
      <c r="Y64" s="13" t="str">
        <f t="shared" si="22"/>
        <v>rokwzgl=20 i lp=81220</v>
      </c>
      <c r="Z64" s="13" t="str">
        <f t="shared" si="22"/>
        <v>rokwzgl=21 i lp=81220</v>
      </c>
      <c r="AA64" s="13" t="str">
        <f t="shared" si="22"/>
        <v>rokwzgl=22 i lp=81220</v>
      </c>
      <c r="AB64" s="13" t="str">
        <f t="shared" si="22"/>
        <v>rokwzgl=23 i lp=81220</v>
      </c>
      <c r="AC64" s="13" t="str">
        <f t="shared" si="22"/>
        <v>rokwzgl=24 i lp=81220</v>
      </c>
      <c r="AD64" s="13" t="str">
        <f t="shared" si="22"/>
        <v>rokwzgl=25 i lp=81220</v>
      </c>
      <c r="AE64" s="13" t="str">
        <f t="shared" si="22"/>
        <v>rokwzgl=26 i lp=81220</v>
      </c>
      <c r="AF64" s="13" t="str">
        <f t="shared" si="22"/>
        <v>rokwzgl=27 i lp=81220</v>
      </c>
      <c r="AG64" s="13" t="str">
        <f t="shared" si="22"/>
        <v>rokwzgl=28 i lp=81220</v>
      </c>
      <c r="AH64" s="13" t="str">
        <f t="shared" si="22"/>
        <v>rokwzgl=29 i lp=81220</v>
      </c>
      <c r="AI64" s="13" t="str">
        <f t="shared" si="22"/>
        <v>rokwzgl=30 i lp=81220</v>
      </c>
      <c r="AJ64" s="13" t="str">
        <f t="shared" si="21"/>
        <v>rokwzgl=31 i lp=81220</v>
      </c>
      <c r="AK64" s="13" t="str">
        <f t="shared" si="21"/>
        <v>rokwzgl=32 i lp=81220</v>
      </c>
      <c r="AL64" s="13" t="str">
        <f t="shared" si="21"/>
        <v>rokwzgl=33 i lp=81220</v>
      </c>
      <c r="AM64" s="13" t="str">
        <f t="shared" si="21"/>
        <v>rokwzgl=34 i lp=81220</v>
      </c>
      <c r="AN64" s="13" t="str">
        <f t="shared" si="10"/>
        <v>rokwzgl=35 i lp=81220</v>
      </c>
      <c r="AO64" s="13" t="str">
        <f t="shared" si="10"/>
        <v>rokwzgl=36 i lp=81220</v>
      </c>
      <c r="AP64" s="13" t="str">
        <f t="shared" si="10"/>
        <v>rokwzgl=37 i lp=81220</v>
      </c>
      <c r="AQ64" s="13" t="str">
        <f t="shared" si="10"/>
        <v>rokwzgl=38 i lp=81220</v>
      </c>
      <c r="AR64" s="13" t="str">
        <f t="shared" si="10"/>
        <v>rokwzgl=39 i lp=81220</v>
      </c>
    </row>
    <row r="65" spans="1:44">
      <c r="A65" s="29">
        <v>81226</v>
      </c>
      <c r="B65" s="12" t="s">
        <v>206</v>
      </c>
      <c r="C65" s="13" t="s">
        <v>154</v>
      </c>
      <c r="D65" s="13" t="str">
        <f t="shared" si="19"/>
        <v>rokwzgl=0 i lp=81226</v>
      </c>
      <c r="E65" s="13" t="str">
        <f t="shared" si="19"/>
        <v>rokwzgl=0 i lp=81226</v>
      </c>
      <c r="F65" s="13" t="str">
        <f t="shared" si="19"/>
        <v>rokwzgl=1 i lp=81226</v>
      </c>
      <c r="G65" s="13" t="str">
        <f t="shared" si="19"/>
        <v>rokwzgl=2 i lp=81226</v>
      </c>
      <c r="H65" s="13" t="str">
        <f t="shared" si="19"/>
        <v>rokwzgl=3 i lp=81226</v>
      </c>
      <c r="I65" s="13" t="str">
        <f t="shared" si="19"/>
        <v>rokwzgl=4 i lp=81226</v>
      </c>
      <c r="J65" s="13" t="str">
        <f t="shared" si="19"/>
        <v>rokwzgl=5 i lp=81226</v>
      </c>
      <c r="K65" s="13" t="str">
        <f t="shared" si="19"/>
        <v>rokwzgl=6 i lp=81226</v>
      </c>
      <c r="L65" s="13" t="str">
        <f t="shared" si="19"/>
        <v>rokwzgl=7 i lp=81226</v>
      </c>
      <c r="M65" s="13" t="str">
        <f t="shared" si="19"/>
        <v>rokwzgl=8 i lp=81226</v>
      </c>
      <c r="N65" s="13" t="str">
        <f t="shared" si="20"/>
        <v>rokwzgl=9 i lp=81226</v>
      </c>
      <c r="O65" s="13" t="str">
        <f t="shared" si="20"/>
        <v>rokwzgl=10 i lp=81226</v>
      </c>
      <c r="P65" s="13" t="str">
        <f t="shared" si="20"/>
        <v>rokwzgl=11 i lp=81226</v>
      </c>
      <c r="Q65" s="13" t="str">
        <f t="shared" si="20"/>
        <v>rokwzgl=12 i lp=81226</v>
      </c>
      <c r="R65" s="13" t="str">
        <f t="shared" si="20"/>
        <v>rokwzgl=13 i lp=81226</v>
      </c>
      <c r="S65" s="13" t="str">
        <f t="shared" si="20"/>
        <v>rokwzgl=14 i lp=81226</v>
      </c>
      <c r="T65" s="13" t="str">
        <f t="shared" si="20"/>
        <v>rokwzgl=15 i lp=81226</v>
      </c>
      <c r="U65" s="13" t="str">
        <f t="shared" si="20"/>
        <v>rokwzgl=16 i lp=81226</v>
      </c>
      <c r="V65" s="13" t="str">
        <f t="shared" si="20"/>
        <v>rokwzgl=17 i lp=81226</v>
      </c>
      <c r="W65" s="13" t="str">
        <f t="shared" si="20"/>
        <v>rokwzgl=18 i lp=81226</v>
      </c>
      <c r="X65" s="13" t="str">
        <f t="shared" si="22"/>
        <v>rokwzgl=19 i lp=81226</v>
      </c>
      <c r="Y65" s="13" t="str">
        <f t="shared" si="22"/>
        <v>rokwzgl=20 i lp=81226</v>
      </c>
      <c r="Z65" s="13" t="str">
        <f t="shared" si="22"/>
        <v>rokwzgl=21 i lp=81226</v>
      </c>
      <c r="AA65" s="13" t="str">
        <f t="shared" si="22"/>
        <v>rokwzgl=22 i lp=81226</v>
      </c>
      <c r="AB65" s="13" t="str">
        <f t="shared" si="22"/>
        <v>rokwzgl=23 i lp=81226</v>
      </c>
      <c r="AC65" s="13" t="str">
        <f t="shared" si="22"/>
        <v>rokwzgl=24 i lp=81226</v>
      </c>
      <c r="AD65" s="13" t="str">
        <f t="shared" si="22"/>
        <v>rokwzgl=25 i lp=81226</v>
      </c>
      <c r="AE65" s="13" t="str">
        <f t="shared" si="22"/>
        <v>rokwzgl=26 i lp=81226</v>
      </c>
      <c r="AF65" s="13" t="str">
        <f t="shared" si="22"/>
        <v>rokwzgl=27 i lp=81226</v>
      </c>
      <c r="AG65" s="13" t="str">
        <f t="shared" si="22"/>
        <v>rokwzgl=28 i lp=81226</v>
      </c>
      <c r="AH65" s="13" t="str">
        <f t="shared" si="22"/>
        <v>rokwzgl=29 i lp=81226</v>
      </c>
      <c r="AI65" s="13" t="str">
        <f t="shared" si="22"/>
        <v>rokwzgl=30 i lp=81226</v>
      </c>
      <c r="AJ65" s="13" t="str">
        <f t="shared" si="21"/>
        <v>rokwzgl=31 i lp=81226</v>
      </c>
      <c r="AK65" s="13" t="str">
        <f t="shared" si="21"/>
        <v>rokwzgl=32 i lp=81226</v>
      </c>
      <c r="AL65" s="13" t="str">
        <f t="shared" si="21"/>
        <v>rokwzgl=33 i lp=81226</v>
      </c>
      <c r="AM65" s="13" t="str">
        <f t="shared" si="21"/>
        <v>rokwzgl=34 i lp=81226</v>
      </c>
      <c r="AN65" s="13" t="str">
        <f t="shared" si="10"/>
        <v>rokwzgl=35 i lp=81226</v>
      </c>
      <c r="AO65" s="13" t="str">
        <f t="shared" si="10"/>
        <v>rokwzgl=36 i lp=81226</v>
      </c>
      <c r="AP65" s="13" t="str">
        <f t="shared" si="10"/>
        <v>rokwzgl=37 i lp=81226</v>
      </c>
      <c r="AQ65" s="13" t="str">
        <f t="shared" si="10"/>
        <v>rokwzgl=38 i lp=81226</v>
      </c>
      <c r="AR65" s="13" t="str">
        <f t="shared" si="10"/>
        <v>rokwzgl=39 i lp=81226</v>
      </c>
    </row>
    <row r="66" spans="1:44">
      <c r="A66" s="29">
        <v>81236</v>
      </c>
      <c r="B66" s="12" t="s">
        <v>386</v>
      </c>
      <c r="C66" s="13" t="s">
        <v>387</v>
      </c>
      <c r="D66" s="13" t="str">
        <f t="shared" si="19"/>
        <v>rokwzgl=0 i lp=81236</v>
      </c>
      <c r="E66" s="13" t="str">
        <f t="shared" si="19"/>
        <v>rokwzgl=0 i lp=81236</v>
      </c>
      <c r="F66" s="13" t="str">
        <f t="shared" si="19"/>
        <v>rokwzgl=1 i lp=81236</v>
      </c>
      <c r="G66" s="13" t="str">
        <f t="shared" si="19"/>
        <v>rokwzgl=2 i lp=81236</v>
      </c>
      <c r="H66" s="13" t="str">
        <f t="shared" si="19"/>
        <v>rokwzgl=3 i lp=81236</v>
      </c>
      <c r="I66" s="13" t="str">
        <f t="shared" si="19"/>
        <v>rokwzgl=4 i lp=81236</v>
      </c>
      <c r="J66" s="13" t="str">
        <f t="shared" si="19"/>
        <v>rokwzgl=5 i lp=81236</v>
      </c>
      <c r="K66" s="13" t="str">
        <f t="shared" si="19"/>
        <v>rokwzgl=6 i lp=81236</v>
      </c>
      <c r="L66" s="13" t="str">
        <f t="shared" si="19"/>
        <v>rokwzgl=7 i lp=81236</v>
      </c>
      <c r="M66" s="13" t="str">
        <f t="shared" si="19"/>
        <v>rokwzgl=8 i lp=81236</v>
      </c>
      <c r="N66" s="13" t="str">
        <f t="shared" si="20"/>
        <v>rokwzgl=9 i lp=81236</v>
      </c>
      <c r="O66" s="13" t="str">
        <f t="shared" si="20"/>
        <v>rokwzgl=10 i lp=81236</v>
      </c>
      <c r="P66" s="13" t="str">
        <f t="shared" si="20"/>
        <v>rokwzgl=11 i lp=81236</v>
      </c>
      <c r="Q66" s="13" t="str">
        <f t="shared" si="20"/>
        <v>rokwzgl=12 i lp=81236</v>
      </c>
      <c r="R66" s="13" t="str">
        <f t="shared" si="20"/>
        <v>rokwzgl=13 i lp=81236</v>
      </c>
      <c r="S66" s="13" t="str">
        <f t="shared" si="20"/>
        <v>rokwzgl=14 i lp=81236</v>
      </c>
      <c r="T66" s="13" t="str">
        <f t="shared" si="20"/>
        <v>rokwzgl=15 i lp=81236</v>
      </c>
      <c r="U66" s="13" t="str">
        <f t="shared" si="20"/>
        <v>rokwzgl=16 i lp=81236</v>
      </c>
      <c r="V66" s="13" t="str">
        <f t="shared" si="20"/>
        <v>rokwzgl=17 i lp=81236</v>
      </c>
      <c r="W66" s="13" t="str">
        <f t="shared" si="20"/>
        <v>rokwzgl=18 i lp=81236</v>
      </c>
      <c r="X66" s="13" t="str">
        <f t="shared" si="22"/>
        <v>rokwzgl=19 i lp=81236</v>
      </c>
      <c r="Y66" s="13" t="str">
        <f t="shared" si="22"/>
        <v>rokwzgl=20 i lp=81236</v>
      </c>
      <c r="Z66" s="13" t="str">
        <f t="shared" si="22"/>
        <v>rokwzgl=21 i lp=81236</v>
      </c>
      <c r="AA66" s="13" t="str">
        <f t="shared" si="22"/>
        <v>rokwzgl=22 i lp=81236</v>
      </c>
      <c r="AB66" s="13" t="str">
        <f t="shared" si="22"/>
        <v>rokwzgl=23 i lp=81236</v>
      </c>
      <c r="AC66" s="13" t="str">
        <f t="shared" si="22"/>
        <v>rokwzgl=24 i lp=81236</v>
      </c>
      <c r="AD66" s="13" t="str">
        <f t="shared" si="22"/>
        <v>rokwzgl=25 i lp=81236</v>
      </c>
      <c r="AE66" s="13" t="str">
        <f t="shared" si="22"/>
        <v>rokwzgl=26 i lp=81236</v>
      </c>
      <c r="AF66" s="13" t="str">
        <f t="shared" si="22"/>
        <v>rokwzgl=27 i lp=81236</v>
      </c>
      <c r="AG66" s="13" t="str">
        <f t="shared" si="22"/>
        <v>rokwzgl=28 i lp=81236</v>
      </c>
      <c r="AH66" s="13" t="str">
        <f t="shared" si="22"/>
        <v>rokwzgl=29 i lp=81236</v>
      </c>
      <c r="AI66" s="13" t="str">
        <f t="shared" si="22"/>
        <v>rokwzgl=30 i lp=81236</v>
      </c>
      <c r="AJ66" s="13" t="str">
        <f t="shared" si="21"/>
        <v>rokwzgl=31 i lp=81236</v>
      </c>
      <c r="AK66" s="13" t="str">
        <f t="shared" si="21"/>
        <v>rokwzgl=32 i lp=81236</v>
      </c>
      <c r="AL66" s="13" t="str">
        <f t="shared" si="21"/>
        <v>rokwzgl=33 i lp=81236</v>
      </c>
      <c r="AM66" s="13" t="str">
        <f t="shared" si="21"/>
        <v>rokwzgl=34 i lp=81236</v>
      </c>
      <c r="AN66" s="13" t="str">
        <f>+"rokwzgl="&amp;AN$9&amp;" i lp="&amp;$A66</f>
        <v>rokwzgl=35 i lp=81236</v>
      </c>
      <c r="AO66" s="13" t="str">
        <f>+"rokwzgl="&amp;AO$9&amp;" i lp="&amp;$A66</f>
        <v>rokwzgl=36 i lp=81236</v>
      </c>
      <c r="AP66" s="13" t="str">
        <f>+"rokwzgl="&amp;AP$9&amp;" i lp="&amp;$A66</f>
        <v>rokwzgl=37 i lp=81236</v>
      </c>
      <c r="AQ66" s="13" t="str">
        <f>+"rokwzgl="&amp;AQ$9&amp;" i lp="&amp;$A66</f>
        <v>rokwzgl=38 i lp=81236</v>
      </c>
      <c r="AR66" s="13" t="str">
        <f>+"rokwzgl="&amp;AR$9&amp;" i lp="&amp;$A66</f>
        <v>rokwzgl=39 i lp=81236</v>
      </c>
    </row>
    <row r="67" spans="1:44">
      <c r="A67" s="29">
        <v>82000</v>
      </c>
      <c r="B67" s="12" t="s">
        <v>59</v>
      </c>
      <c r="C67" s="13" t="s">
        <v>155</v>
      </c>
      <c r="D67" s="13" t="str">
        <f t="shared" ref="D67:M76" si="23">+"rokwzgl="&amp;D$9&amp;" i lp="&amp;$A67</f>
        <v>rokwzgl=0 i lp=82000</v>
      </c>
      <c r="E67" s="13" t="str">
        <f t="shared" si="23"/>
        <v>rokwzgl=0 i lp=82000</v>
      </c>
      <c r="F67" s="13" t="str">
        <f t="shared" si="23"/>
        <v>rokwzgl=1 i lp=82000</v>
      </c>
      <c r="G67" s="13" t="str">
        <f t="shared" si="23"/>
        <v>rokwzgl=2 i lp=82000</v>
      </c>
      <c r="H67" s="13" t="str">
        <f t="shared" si="23"/>
        <v>rokwzgl=3 i lp=82000</v>
      </c>
      <c r="I67" s="13" t="str">
        <f t="shared" si="23"/>
        <v>rokwzgl=4 i lp=82000</v>
      </c>
      <c r="J67" s="13" t="str">
        <f t="shared" si="23"/>
        <v>rokwzgl=5 i lp=82000</v>
      </c>
      <c r="K67" s="13" t="str">
        <f t="shared" si="23"/>
        <v>rokwzgl=6 i lp=82000</v>
      </c>
      <c r="L67" s="13" t="str">
        <f t="shared" si="23"/>
        <v>rokwzgl=7 i lp=82000</v>
      </c>
      <c r="M67" s="13" t="str">
        <f t="shared" si="23"/>
        <v>rokwzgl=8 i lp=82000</v>
      </c>
      <c r="N67" s="13" t="str">
        <f t="shared" ref="N67:W76" si="24">+"rokwzgl="&amp;N$9&amp;" i lp="&amp;$A67</f>
        <v>rokwzgl=9 i lp=82000</v>
      </c>
      <c r="O67" s="13" t="str">
        <f t="shared" si="24"/>
        <v>rokwzgl=10 i lp=82000</v>
      </c>
      <c r="P67" s="13" t="str">
        <f t="shared" si="24"/>
        <v>rokwzgl=11 i lp=82000</v>
      </c>
      <c r="Q67" s="13" t="str">
        <f t="shared" si="24"/>
        <v>rokwzgl=12 i lp=82000</v>
      </c>
      <c r="R67" s="13" t="str">
        <f t="shared" si="24"/>
        <v>rokwzgl=13 i lp=82000</v>
      </c>
      <c r="S67" s="13" t="str">
        <f t="shared" si="24"/>
        <v>rokwzgl=14 i lp=82000</v>
      </c>
      <c r="T67" s="13" t="str">
        <f t="shared" si="24"/>
        <v>rokwzgl=15 i lp=82000</v>
      </c>
      <c r="U67" s="13" t="str">
        <f t="shared" si="24"/>
        <v>rokwzgl=16 i lp=82000</v>
      </c>
      <c r="V67" s="13" t="str">
        <f t="shared" si="24"/>
        <v>rokwzgl=17 i lp=82000</v>
      </c>
      <c r="W67" s="13" t="str">
        <f t="shared" si="24"/>
        <v>rokwzgl=18 i lp=82000</v>
      </c>
      <c r="X67" s="13" t="str">
        <f t="shared" si="22"/>
        <v>rokwzgl=19 i lp=82000</v>
      </c>
      <c r="Y67" s="13" t="str">
        <f t="shared" si="22"/>
        <v>rokwzgl=20 i lp=82000</v>
      </c>
      <c r="Z67" s="13" t="str">
        <f t="shared" si="22"/>
        <v>rokwzgl=21 i lp=82000</v>
      </c>
      <c r="AA67" s="13" t="str">
        <f t="shared" si="22"/>
        <v>rokwzgl=22 i lp=82000</v>
      </c>
      <c r="AB67" s="13" t="str">
        <f t="shared" si="22"/>
        <v>rokwzgl=23 i lp=82000</v>
      </c>
      <c r="AC67" s="13" t="str">
        <f t="shared" si="22"/>
        <v>rokwzgl=24 i lp=82000</v>
      </c>
      <c r="AD67" s="13" t="str">
        <f t="shared" si="22"/>
        <v>rokwzgl=25 i lp=82000</v>
      </c>
      <c r="AE67" s="13" t="str">
        <f t="shared" si="22"/>
        <v>rokwzgl=26 i lp=82000</v>
      </c>
      <c r="AF67" s="13" t="str">
        <f t="shared" si="22"/>
        <v>rokwzgl=27 i lp=82000</v>
      </c>
      <c r="AG67" s="13" t="str">
        <f t="shared" si="22"/>
        <v>rokwzgl=28 i lp=82000</v>
      </c>
      <c r="AH67" s="13" t="str">
        <f t="shared" si="22"/>
        <v>rokwzgl=29 i lp=82000</v>
      </c>
      <c r="AI67" s="13" t="str">
        <f t="shared" si="22"/>
        <v>rokwzgl=30 i lp=82000</v>
      </c>
      <c r="AJ67" s="13" t="str">
        <f t="shared" si="21"/>
        <v>rokwzgl=31 i lp=82000</v>
      </c>
      <c r="AK67" s="13" t="str">
        <f t="shared" si="21"/>
        <v>rokwzgl=32 i lp=82000</v>
      </c>
      <c r="AL67" s="13" t="str">
        <f t="shared" si="21"/>
        <v>rokwzgl=33 i lp=82000</v>
      </c>
      <c r="AM67" s="13" t="str">
        <f t="shared" si="21"/>
        <v>rokwzgl=34 i lp=82000</v>
      </c>
      <c r="AN67" s="13" t="str">
        <f t="shared" si="10"/>
        <v>rokwzgl=35 i lp=82000</v>
      </c>
      <c r="AO67" s="13" t="str">
        <f t="shared" si="10"/>
        <v>rokwzgl=36 i lp=82000</v>
      </c>
      <c r="AP67" s="13" t="str">
        <f t="shared" si="10"/>
        <v>rokwzgl=37 i lp=82000</v>
      </c>
      <c r="AQ67" s="13" t="str">
        <f t="shared" si="10"/>
        <v>rokwzgl=38 i lp=82000</v>
      </c>
      <c r="AR67" s="13" t="str">
        <f t="shared" si="10"/>
        <v>rokwzgl=39 i lp=82000</v>
      </c>
    </row>
    <row r="68" spans="1:44">
      <c r="A68" s="29">
        <v>82220</v>
      </c>
      <c r="B68" s="12" t="s">
        <v>207</v>
      </c>
      <c r="C68" s="13" t="s">
        <v>156</v>
      </c>
      <c r="D68" s="13" t="str">
        <f t="shared" si="23"/>
        <v>rokwzgl=0 i lp=82220</v>
      </c>
      <c r="E68" s="13" t="str">
        <f t="shared" si="23"/>
        <v>rokwzgl=0 i lp=82220</v>
      </c>
      <c r="F68" s="13" t="str">
        <f t="shared" si="23"/>
        <v>rokwzgl=1 i lp=82220</v>
      </c>
      <c r="G68" s="13" t="str">
        <f t="shared" si="23"/>
        <v>rokwzgl=2 i lp=82220</v>
      </c>
      <c r="H68" s="13" t="str">
        <f t="shared" si="23"/>
        <v>rokwzgl=3 i lp=82220</v>
      </c>
      <c r="I68" s="13" t="str">
        <f t="shared" si="23"/>
        <v>rokwzgl=4 i lp=82220</v>
      </c>
      <c r="J68" s="13" t="str">
        <f t="shared" si="23"/>
        <v>rokwzgl=5 i lp=82220</v>
      </c>
      <c r="K68" s="13" t="str">
        <f t="shared" si="23"/>
        <v>rokwzgl=6 i lp=82220</v>
      </c>
      <c r="L68" s="13" t="str">
        <f t="shared" si="23"/>
        <v>rokwzgl=7 i lp=82220</v>
      </c>
      <c r="M68" s="13" t="str">
        <f t="shared" si="23"/>
        <v>rokwzgl=8 i lp=82220</v>
      </c>
      <c r="N68" s="13" t="str">
        <f t="shared" si="24"/>
        <v>rokwzgl=9 i lp=82220</v>
      </c>
      <c r="O68" s="13" t="str">
        <f t="shared" si="24"/>
        <v>rokwzgl=10 i lp=82220</v>
      </c>
      <c r="P68" s="13" t="str">
        <f t="shared" si="24"/>
        <v>rokwzgl=11 i lp=82220</v>
      </c>
      <c r="Q68" s="13" t="str">
        <f t="shared" si="24"/>
        <v>rokwzgl=12 i lp=82220</v>
      </c>
      <c r="R68" s="13" t="str">
        <f t="shared" si="24"/>
        <v>rokwzgl=13 i lp=82220</v>
      </c>
      <c r="S68" s="13" t="str">
        <f t="shared" si="24"/>
        <v>rokwzgl=14 i lp=82220</v>
      </c>
      <c r="T68" s="13" t="str">
        <f t="shared" si="24"/>
        <v>rokwzgl=15 i lp=82220</v>
      </c>
      <c r="U68" s="13" t="str">
        <f t="shared" si="24"/>
        <v>rokwzgl=16 i lp=82220</v>
      </c>
      <c r="V68" s="13" t="str">
        <f t="shared" si="24"/>
        <v>rokwzgl=17 i lp=82220</v>
      </c>
      <c r="W68" s="13" t="str">
        <f t="shared" si="24"/>
        <v>rokwzgl=18 i lp=82220</v>
      </c>
      <c r="X68" s="13" t="str">
        <f t="shared" si="22"/>
        <v>rokwzgl=19 i lp=82220</v>
      </c>
      <c r="Y68" s="13" t="str">
        <f t="shared" si="22"/>
        <v>rokwzgl=20 i lp=82220</v>
      </c>
      <c r="Z68" s="13" t="str">
        <f t="shared" si="22"/>
        <v>rokwzgl=21 i lp=82220</v>
      </c>
      <c r="AA68" s="13" t="str">
        <f t="shared" si="22"/>
        <v>rokwzgl=22 i lp=82220</v>
      </c>
      <c r="AB68" s="13" t="str">
        <f t="shared" si="22"/>
        <v>rokwzgl=23 i lp=82220</v>
      </c>
      <c r="AC68" s="13" t="str">
        <f t="shared" si="22"/>
        <v>rokwzgl=24 i lp=82220</v>
      </c>
      <c r="AD68" s="13" t="str">
        <f t="shared" si="22"/>
        <v>rokwzgl=25 i lp=82220</v>
      </c>
      <c r="AE68" s="13" t="str">
        <f t="shared" si="22"/>
        <v>rokwzgl=26 i lp=82220</v>
      </c>
      <c r="AF68" s="13" t="str">
        <f t="shared" si="22"/>
        <v>rokwzgl=27 i lp=82220</v>
      </c>
      <c r="AG68" s="13" t="str">
        <f t="shared" si="22"/>
        <v>rokwzgl=28 i lp=82220</v>
      </c>
      <c r="AH68" s="13" t="str">
        <f t="shared" si="22"/>
        <v>rokwzgl=29 i lp=82220</v>
      </c>
      <c r="AI68" s="13" t="str">
        <f t="shared" si="22"/>
        <v>rokwzgl=30 i lp=82220</v>
      </c>
      <c r="AJ68" s="13" t="str">
        <f t="shared" si="21"/>
        <v>rokwzgl=31 i lp=82220</v>
      </c>
      <c r="AK68" s="13" t="str">
        <f t="shared" si="21"/>
        <v>rokwzgl=32 i lp=82220</v>
      </c>
      <c r="AL68" s="13" t="str">
        <f t="shared" si="21"/>
        <v>rokwzgl=33 i lp=82220</v>
      </c>
      <c r="AM68" s="13" t="str">
        <f t="shared" si="21"/>
        <v>rokwzgl=34 i lp=82220</v>
      </c>
      <c r="AN68" s="13" t="str">
        <f t="shared" si="10"/>
        <v>rokwzgl=35 i lp=82220</v>
      </c>
      <c r="AO68" s="13" t="str">
        <f t="shared" si="10"/>
        <v>rokwzgl=36 i lp=82220</v>
      </c>
      <c r="AP68" s="13" t="str">
        <f t="shared" si="10"/>
        <v>rokwzgl=37 i lp=82220</v>
      </c>
      <c r="AQ68" s="13" t="str">
        <f t="shared" si="10"/>
        <v>rokwzgl=38 i lp=82220</v>
      </c>
      <c r="AR68" s="13" t="str">
        <f t="shared" si="10"/>
        <v>rokwzgl=39 i lp=82220</v>
      </c>
    </row>
    <row r="69" spans="1:44">
      <c r="A69" s="29">
        <v>82226</v>
      </c>
      <c r="B69" s="12" t="s">
        <v>208</v>
      </c>
      <c r="C69" s="13" t="s">
        <v>157</v>
      </c>
      <c r="D69" s="13" t="str">
        <f t="shared" si="23"/>
        <v>rokwzgl=0 i lp=82226</v>
      </c>
      <c r="E69" s="13" t="str">
        <f t="shared" si="23"/>
        <v>rokwzgl=0 i lp=82226</v>
      </c>
      <c r="F69" s="13" t="str">
        <f t="shared" si="23"/>
        <v>rokwzgl=1 i lp=82226</v>
      </c>
      <c r="G69" s="13" t="str">
        <f t="shared" si="23"/>
        <v>rokwzgl=2 i lp=82226</v>
      </c>
      <c r="H69" s="13" t="str">
        <f t="shared" si="23"/>
        <v>rokwzgl=3 i lp=82226</v>
      </c>
      <c r="I69" s="13" t="str">
        <f t="shared" si="23"/>
        <v>rokwzgl=4 i lp=82226</v>
      </c>
      <c r="J69" s="13" t="str">
        <f t="shared" si="23"/>
        <v>rokwzgl=5 i lp=82226</v>
      </c>
      <c r="K69" s="13" t="str">
        <f t="shared" si="23"/>
        <v>rokwzgl=6 i lp=82226</v>
      </c>
      <c r="L69" s="13" t="str">
        <f t="shared" si="23"/>
        <v>rokwzgl=7 i lp=82226</v>
      </c>
      <c r="M69" s="13" t="str">
        <f t="shared" si="23"/>
        <v>rokwzgl=8 i lp=82226</v>
      </c>
      <c r="N69" s="13" t="str">
        <f t="shared" si="24"/>
        <v>rokwzgl=9 i lp=82226</v>
      </c>
      <c r="O69" s="13" t="str">
        <f t="shared" si="24"/>
        <v>rokwzgl=10 i lp=82226</v>
      </c>
      <c r="P69" s="13" t="str">
        <f t="shared" si="24"/>
        <v>rokwzgl=11 i lp=82226</v>
      </c>
      <c r="Q69" s="13" t="str">
        <f t="shared" si="24"/>
        <v>rokwzgl=12 i lp=82226</v>
      </c>
      <c r="R69" s="13" t="str">
        <f t="shared" si="24"/>
        <v>rokwzgl=13 i lp=82226</v>
      </c>
      <c r="S69" s="13" t="str">
        <f t="shared" si="24"/>
        <v>rokwzgl=14 i lp=82226</v>
      </c>
      <c r="T69" s="13" t="str">
        <f t="shared" si="24"/>
        <v>rokwzgl=15 i lp=82226</v>
      </c>
      <c r="U69" s="13" t="str">
        <f t="shared" si="24"/>
        <v>rokwzgl=16 i lp=82226</v>
      </c>
      <c r="V69" s="13" t="str">
        <f t="shared" si="24"/>
        <v>rokwzgl=17 i lp=82226</v>
      </c>
      <c r="W69" s="13" t="str">
        <f t="shared" si="24"/>
        <v>rokwzgl=18 i lp=82226</v>
      </c>
      <c r="X69" s="13" t="str">
        <f t="shared" si="22"/>
        <v>rokwzgl=19 i lp=82226</v>
      </c>
      <c r="Y69" s="13" t="str">
        <f t="shared" si="22"/>
        <v>rokwzgl=20 i lp=82226</v>
      </c>
      <c r="Z69" s="13" t="str">
        <f t="shared" si="22"/>
        <v>rokwzgl=21 i lp=82226</v>
      </c>
      <c r="AA69" s="13" t="str">
        <f t="shared" si="22"/>
        <v>rokwzgl=22 i lp=82226</v>
      </c>
      <c r="AB69" s="13" t="str">
        <f t="shared" si="22"/>
        <v>rokwzgl=23 i lp=82226</v>
      </c>
      <c r="AC69" s="13" t="str">
        <f t="shared" si="22"/>
        <v>rokwzgl=24 i lp=82226</v>
      </c>
      <c r="AD69" s="13" t="str">
        <f t="shared" si="22"/>
        <v>rokwzgl=25 i lp=82226</v>
      </c>
      <c r="AE69" s="13" t="str">
        <f t="shared" si="22"/>
        <v>rokwzgl=26 i lp=82226</v>
      </c>
      <c r="AF69" s="13" t="str">
        <f t="shared" si="22"/>
        <v>rokwzgl=27 i lp=82226</v>
      </c>
      <c r="AG69" s="13" t="str">
        <f t="shared" si="22"/>
        <v>rokwzgl=28 i lp=82226</v>
      </c>
      <c r="AH69" s="13" t="str">
        <f t="shared" si="22"/>
        <v>rokwzgl=29 i lp=82226</v>
      </c>
      <c r="AI69" s="13" t="str">
        <f t="shared" si="22"/>
        <v>rokwzgl=30 i lp=82226</v>
      </c>
      <c r="AJ69" s="13" t="str">
        <f t="shared" si="21"/>
        <v>rokwzgl=31 i lp=82226</v>
      </c>
      <c r="AK69" s="13" t="str">
        <f t="shared" si="21"/>
        <v>rokwzgl=32 i lp=82226</v>
      </c>
      <c r="AL69" s="13" t="str">
        <f t="shared" si="21"/>
        <v>rokwzgl=33 i lp=82226</v>
      </c>
      <c r="AM69" s="13" t="str">
        <f t="shared" si="21"/>
        <v>rokwzgl=34 i lp=82226</v>
      </c>
      <c r="AN69" s="13" t="str">
        <f t="shared" si="10"/>
        <v>rokwzgl=35 i lp=82226</v>
      </c>
      <c r="AO69" s="13" t="str">
        <f t="shared" si="10"/>
        <v>rokwzgl=36 i lp=82226</v>
      </c>
      <c r="AP69" s="13" t="str">
        <f t="shared" si="10"/>
        <v>rokwzgl=37 i lp=82226</v>
      </c>
      <c r="AQ69" s="13" t="str">
        <f t="shared" si="10"/>
        <v>rokwzgl=38 i lp=82226</v>
      </c>
      <c r="AR69" s="13" t="str">
        <f t="shared" si="10"/>
        <v>rokwzgl=39 i lp=82226</v>
      </c>
    </row>
    <row r="70" spans="1:44">
      <c r="A70" s="29">
        <v>83000</v>
      </c>
      <c r="B70" s="12" t="s">
        <v>231</v>
      </c>
      <c r="C70" s="13" t="s">
        <v>158</v>
      </c>
      <c r="D70" s="13" t="str">
        <f t="shared" si="23"/>
        <v>rokwzgl=0 i lp=83000</v>
      </c>
      <c r="E70" s="13" t="str">
        <f t="shared" si="23"/>
        <v>rokwzgl=0 i lp=83000</v>
      </c>
      <c r="F70" s="13" t="str">
        <f t="shared" si="23"/>
        <v>rokwzgl=1 i lp=83000</v>
      </c>
      <c r="G70" s="13" t="str">
        <f t="shared" si="23"/>
        <v>rokwzgl=2 i lp=83000</v>
      </c>
      <c r="H70" s="13" t="str">
        <f t="shared" si="23"/>
        <v>rokwzgl=3 i lp=83000</v>
      </c>
      <c r="I70" s="13" t="str">
        <f t="shared" si="23"/>
        <v>rokwzgl=4 i lp=83000</v>
      </c>
      <c r="J70" s="13" t="str">
        <f t="shared" si="23"/>
        <v>rokwzgl=5 i lp=83000</v>
      </c>
      <c r="K70" s="13" t="str">
        <f t="shared" si="23"/>
        <v>rokwzgl=6 i lp=83000</v>
      </c>
      <c r="L70" s="13" t="str">
        <f t="shared" si="23"/>
        <v>rokwzgl=7 i lp=83000</v>
      </c>
      <c r="M70" s="13" t="str">
        <f t="shared" si="23"/>
        <v>rokwzgl=8 i lp=83000</v>
      </c>
      <c r="N70" s="13" t="str">
        <f t="shared" si="24"/>
        <v>rokwzgl=9 i lp=83000</v>
      </c>
      <c r="O70" s="13" t="str">
        <f t="shared" si="24"/>
        <v>rokwzgl=10 i lp=83000</v>
      </c>
      <c r="P70" s="13" t="str">
        <f t="shared" si="24"/>
        <v>rokwzgl=11 i lp=83000</v>
      </c>
      <c r="Q70" s="13" t="str">
        <f t="shared" si="24"/>
        <v>rokwzgl=12 i lp=83000</v>
      </c>
      <c r="R70" s="13" t="str">
        <f t="shared" si="24"/>
        <v>rokwzgl=13 i lp=83000</v>
      </c>
      <c r="S70" s="13" t="str">
        <f t="shared" si="24"/>
        <v>rokwzgl=14 i lp=83000</v>
      </c>
      <c r="T70" s="13" t="str">
        <f t="shared" si="24"/>
        <v>rokwzgl=15 i lp=83000</v>
      </c>
      <c r="U70" s="13" t="str">
        <f t="shared" si="24"/>
        <v>rokwzgl=16 i lp=83000</v>
      </c>
      <c r="V70" s="13" t="str">
        <f t="shared" si="24"/>
        <v>rokwzgl=17 i lp=83000</v>
      </c>
      <c r="W70" s="13" t="str">
        <f t="shared" si="24"/>
        <v>rokwzgl=18 i lp=83000</v>
      </c>
      <c r="X70" s="13" t="str">
        <f t="shared" si="22"/>
        <v>rokwzgl=19 i lp=83000</v>
      </c>
      <c r="Y70" s="13" t="str">
        <f t="shared" si="22"/>
        <v>rokwzgl=20 i lp=83000</v>
      </c>
      <c r="Z70" s="13" t="str">
        <f t="shared" si="22"/>
        <v>rokwzgl=21 i lp=83000</v>
      </c>
      <c r="AA70" s="13" t="str">
        <f t="shared" si="22"/>
        <v>rokwzgl=22 i lp=83000</v>
      </c>
      <c r="AB70" s="13" t="str">
        <f t="shared" si="22"/>
        <v>rokwzgl=23 i lp=83000</v>
      </c>
      <c r="AC70" s="13" t="str">
        <f t="shared" si="22"/>
        <v>rokwzgl=24 i lp=83000</v>
      </c>
      <c r="AD70" s="13" t="str">
        <f t="shared" si="22"/>
        <v>rokwzgl=25 i lp=83000</v>
      </c>
      <c r="AE70" s="13" t="str">
        <f t="shared" si="22"/>
        <v>rokwzgl=26 i lp=83000</v>
      </c>
      <c r="AF70" s="13" t="str">
        <f t="shared" si="22"/>
        <v>rokwzgl=27 i lp=83000</v>
      </c>
      <c r="AG70" s="13" t="str">
        <f t="shared" si="22"/>
        <v>rokwzgl=28 i lp=83000</v>
      </c>
      <c r="AH70" s="13" t="str">
        <f t="shared" si="22"/>
        <v>rokwzgl=29 i lp=83000</v>
      </c>
      <c r="AI70" s="13" t="str">
        <f t="shared" si="22"/>
        <v>rokwzgl=30 i lp=83000</v>
      </c>
      <c r="AJ70" s="13" t="str">
        <f t="shared" si="21"/>
        <v>rokwzgl=31 i lp=83000</v>
      </c>
      <c r="AK70" s="13" t="str">
        <f t="shared" si="21"/>
        <v>rokwzgl=32 i lp=83000</v>
      </c>
      <c r="AL70" s="13" t="str">
        <f t="shared" si="21"/>
        <v>rokwzgl=33 i lp=83000</v>
      </c>
      <c r="AM70" s="13" t="str">
        <f t="shared" si="21"/>
        <v>rokwzgl=34 i lp=83000</v>
      </c>
      <c r="AN70" s="13" t="str">
        <f t="shared" si="10"/>
        <v>rokwzgl=35 i lp=83000</v>
      </c>
      <c r="AO70" s="13" t="str">
        <f t="shared" si="10"/>
        <v>rokwzgl=36 i lp=83000</v>
      </c>
      <c r="AP70" s="13" t="str">
        <f t="shared" si="10"/>
        <v>rokwzgl=37 i lp=83000</v>
      </c>
      <c r="AQ70" s="13" t="str">
        <f t="shared" si="10"/>
        <v>rokwzgl=38 i lp=83000</v>
      </c>
      <c r="AR70" s="13" t="str">
        <f t="shared" si="10"/>
        <v>rokwzgl=39 i lp=83000</v>
      </c>
    </row>
    <row r="71" spans="1:44">
      <c r="A71" s="29">
        <v>83100</v>
      </c>
      <c r="B71" s="12" t="s">
        <v>209</v>
      </c>
      <c r="C71" s="13" t="s">
        <v>159</v>
      </c>
      <c r="D71" s="13" t="str">
        <f t="shared" si="23"/>
        <v>rokwzgl=0 i lp=83100</v>
      </c>
      <c r="E71" s="13" t="str">
        <f t="shared" si="23"/>
        <v>rokwzgl=0 i lp=83100</v>
      </c>
      <c r="F71" s="13" t="str">
        <f t="shared" si="23"/>
        <v>rokwzgl=1 i lp=83100</v>
      </c>
      <c r="G71" s="13" t="str">
        <f t="shared" si="23"/>
        <v>rokwzgl=2 i lp=83100</v>
      </c>
      <c r="H71" s="13" t="str">
        <f t="shared" si="23"/>
        <v>rokwzgl=3 i lp=83100</v>
      </c>
      <c r="I71" s="13" t="str">
        <f t="shared" si="23"/>
        <v>rokwzgl=4 i lp=83100</v>
      </c>
      <c r="J71" s="13" t="str">
        <f t="shared" si="23"/>
        <v>rokwzgl=5 i lp=83100</v>
      </c>
      <c r="K71" s="13" t="str">
        <f t="shared" si="23"/>
        <v>rokwzgl=6 i lp=83100</v>
      </c>
      <c r="L71" s="13" t="str">
        <f t="shared" si="23"/>
        <v>rokwzgl=7 i lp=83100</v>
      </c>
      <c r="M71" s="13" t="str">
        <f t="shared" si="23"/>
        <v>rokwzgl=8 i lp=83100</v>
      </c>
      <c r="N71" s="13" t="str">
        <f t="shared" si="24"/>
        <v>rokwzgl=9 i lp=83100</v>
      </c>
      <c r="O71" s="13" t="str">
        <f t="shared" si="24"/>
        <v>rokwzgl=10 i lp=83100</v>
      </c>
      <c r="P71" s="13" t="str">
        <f t="shared" si="24"/>
        <v>rokwzgl=11 i lp=83100</v>
      </c>
      <c r="Q71" s="13" t="str">
        <f t="shared" si="24"/>
        <v>rokwzgl=12 i lp=83100</v>
      </c>
      <c r="R71" s="13" t="str">
        <f t="shared" si="24"/>
        <v>rokwzgl=13 i lp=83100</v>
      </c>
      <c r="S71" s="13" t="str">
        <f t="shared" si="24"/>
        <v>rokwzgl=14 i lp=83100</v>
      </c>
      <c r="T71" s="13" t="str">
        <f t="shared" si="24"/>
        <v>rokwzgl=15 i lp=83100</v>
      </c>
      <c r="U71" s="13" t="str">
        <f t="shared" si="24"/>
        <v>rokwzgl=16 i lp=83100</v>
      </c>
      <c r="V71" s="13" t="str">
        <f t="shared" si="24"/>
        <v>rokwzgl=17 i lp=83100</v>
      </c>
      <c r="W71" s="13" t="str">
        <f t="shared" si="24"/>
        <v>rokwzgl=18 i lp=83100</v>
      </c>
      <c r="X71" s="13" t="str">
        <f t="shared" ref="X71:AI81" si="25">+"rokwzgl="&amp;X$9&amp;" i lp="&amp;$A71</f>
        <v>rokwzgl=19 i lp=83100</v>
      </c>
      <c r="Y71" s="13" t="str">
        <f t="shared" si="25"/>
        <v>rokwzgl=20 i lp=83100</v>
      </c>
      <c r="Z71" s="13" t="str">
        <f t="shared" si="25"/>
        <v>rokwzgl=21 i lp=83100</v>
      </c>
      <c r="AA71" s="13" t="str">
        <f t="shared" si="25"/>
        <v>rokwzgl=22 i lp=83100</v>
      </c>
      <c r="AB71" s="13" t="str">
        <f t="shared" si="25"/>
        <v>rokwzgl=23 i lp=83100</v>
      </c>
      <c r="AC71" s="13" t="str">
        <f t="shared" si="25"/>
        <v>rokwzgl=24 i lp=83100</v>
      </c>
      <c r="AD71" s="13" t="str">
        <f t="shared" si="25"/>
        <v>rokwzgl=25 i lp=83100</v>
      </c>
      <c r="AE71" s="13" t="str">
        <f t="shared" si="25"/>
        <v>rokwzgl=26 i lp=83100</v>
      </c>
      <c r="AF71" s="13" t="str">
        <f t="shared" si="25"/>
        <v>rokwzgl=27 i lp=83100</v>
      </c>
      <c r="AG71" s="13" t="str">
        <f t="shared" si="25"/>
        <v>rokwzgl=28 i lp=83100</v>
      </c>
      <c r="AH71" s="13" t="str">
        <f t="shared" si="25"/>
        <v>rokwzgl=29 i lp=83100</v>
      </c>
      <c r="AI71" s="13" t="str">
        <f t="shared" si="25"/>
        <v>rokwzgl=30 i lp=83100</v>
      </c>
      <c r="AJ71" s="13" t="str">
        <f t="shared" si="21"/>
        <v>rokwzgl=31 i lp=83100</v>
      </c>
      <c r="AK71" s="13" t="str">
        <f t="shared" si="21"/>
        <v>rokwzgl=32 i lp=83100</v>
      </c>
      <c r="AL71" s="13" t="str">
        <f t="shared" si="21"/>
        <v>rokwzgl=33 i lp=83100</v>
      </c>
      <c r="AM71" s="13" t="str">
        <f t="shared" si="21"/>
        <v>rokwzgl=34 i lp=83100</v>
      </c>
      <c r="AN71" s="13" t="str">
        <f t="shared" si="10"/>
        <v>rokwzgl=35 i lp=83100</v>
      </c>
      <c r="AO71" s="13" t="str">
        <f t="shared" si="10"/>
        <v>rokwzgl=36 i lp=83100</v>
      </c>
      <c r="AP71" s="13" t="str">
        <f t="shared" si="10"/>
        <v>rokwzgl=37 i lp=83100</v>
      </c>
      <c r="AQ71" s="13" t="str">
        <f t="shared" si="10"/>
        <v>rokwzgl=38 i lp=83100</v>
      </c>
      <c r="AR71" s="13" t="str">
        <f t="shared" si="10"/>
        <v>rokwzgl=39 i lp=83100</v>
      </c>
    </row>
    <row r="72" spans="1:44">
      <c r="A72" s="29">
        <v>84000</v>
      </c>
      <c r="B72" s="12" t="s">
        <v>232</v>
      </c>
      <c r="C72" s="13" t="s">
        <v>160</v>
      </c>
      <c r="D72" s="13" t="str">
        <f t="shared" si="23"/>
        <v>rokwzgl=0 i lp=84000</v>
      </c>
      <c r="E72" s="13" t="str">
        <f t="shared" si="23"/>
        <v>rokwzgl=0 i lp=84000</v>
      </c>
      <c r="F72" s="13" t="str">
        <f t="shared" si="23"/>
        <v>rokwzgl=1 i lp=84000</v>
      </c>
      <c r="G72" s="13" t="str">
        <f t="shared" si="23"/>
        <v>rokwzgl=2 i lp=84000</v>
      </c>
      <c r="H72" s="13" t="str">
        <f t="shared" si="23"/>
        <v>rokwzgl=3 i lp=84000</v>
      </c>
      <c r="I72" s="13" t="str">
        <f t="shared" si="23"/>
        <v>rokwzgl=4 i lp=84000</v>
      </c>
      <c r="J72" s="13" t="str">
        <f t="shared" si="23"/>
        <v>rokwzgl=5 i lp=84000</v>
      </c>
      <c r="K72" s="13" t="str">
        <f t="shared" si="23"/>
        <v>rokwzgl=6 i lp=84000</v>
      </c>
      <c r="L72" s="13" t="str">
        <f t="shared" si="23"/>
        <v>rokwzgl=7 i lp=84000</v>
      </c>
      <c r="M72" s="13" t="str">
        <f t="shared" si="23"/>
        <v>rokwzgl=8 i lp=84000</v>
      </c>
      <c r="N72" s="13" t="str">
        <f t="shared" si="24"/>
        <v>rokwzgl=9 i lp=84000</v>
      </c>
      <c r="O72" s="13" t="str">
        <f t="shared" si="24"/>
        <v>rokwzgl=10 i lp=84000</v>
      </c>
      <c r="P72" s="13" t="str">
        <f t="shared" si="24"/>
        <v>rokwzgl=11 i lp=84000</v>
      </c>
      <c r="Q72" s="13" t="str">
        <f t="shared" si="24"/>
        <v>rokwzgl=12 i lp=84000</v>
      </c>
      <c r="R72" s="13" t="str">
        <f t="shared" si="24"/>
        <v>rokwzgl=13 i lp=84000</v>
      </c>
      <c r="S72" s="13" t="str">
        <f t="shared" si="24"/>
        <v>rokwzgl=14 i lp=84000</v>
      </c>
      <c r="T72" s="13" t="str">
        <f t="shared" si="24"/>
        <v>rokwzgl=15 i lp=84000</v>
      </c>
      <c r="U72" s="13" t="str">
        <f t="shared" si="24"/>
        <v>rokwzgl=16 i lp=84000</v>
      </c>
      <c r="V72" s="13" t="str">
        <f t="shared" si="24"/>
        <v>rokwzgl=17 i lp=84000</v>
      </c>
      <c r="W72" s="13" t="str">
        <f t="shared" si="24"/>
        <v>rokwzgl=18 i lp=84000</v>
      </c>
      <c r="X72" s="13" t="str">
        <f t="shared" si="25"/>
        <v>rokwzgl=19 i lp=84000</v>
      </c>
      <c r="Y72" s="13" t="str">
        <f t="shared" si="25"/>
        <v>rokwzgl=20 i lp=84000</v>
      </c>
      <c r="Z72" s="13" t="str">
        <f t="shared" si="25"/>
        <v>rokwzgl=21 i lp=84000</v>
      </c>
      <c r="AA72" s="13" t="str">
        <f t="shared" si="25"/>
        <v>rokwzgl=22 i lp=84000</v>
      </c>
      <c r="AB72" s="13" t="str">
        <f t="shared" si="25"/>
        <v>rokwzgl=23 i lp=84000</v>
      </c>
      <c r="AC72" s="13" t="str">
        <f t="shared" si="25"/>
        <v>rokwzgl=24 i lp=84000</v>
      </c>
      <c r="AD72" s="13" t="str">
        <f t="shared" si="25"/>
        <v>rokwzgl=25 i lp=84000</v>
      </c>
      <c r="AE72" s="13" t="str">
        <f t="shared" si="25"/>
        <v>rokwzgl=26 i lp=84000</v>
      </c>
      <c r="AF72" s="13" t="str">
        <f t="shared" si="25"/>
        <v>rokwzgl=27 i lp=84000</v>
      </c>
      <c r="AG72" s="13" t="str">
        <f t="shared" si="25"/>
        <v>rokwzgl=28 i lp=84000</v>
      </c>
      <c r="AH72" s="13" t="str">
        <f t="shared" si="25"/>
        <v>rokwzgl=29 i lp=84000</v>
      </c>
      <c r="AI72" s="13" t="str">
        <f t="shared" si="25"/>
        <v>rokwzgl=30 i lp=84000</v>
      </c>
      <c r="AJ72" s="13" t="str">
        <f t="shared" si="21"/>
        <v>rokwzgl=31 i lp=84000</v>
      </c>
      <c r="AK72" s="13" t="str">
        <f t="shared" si="21"/>
        <v>rokwzgl=32 i lp=84000</v>
      </c>
      <c r="AL72" s="13" t="str">
        <f t="shared" si="21"/>
        <v>rokwzgl=33 i lp=84000</v>
      </c>
      <c r="AM72" s="13" t="str">
        <f t="shared" si="21"/>
        <v>rokwzgl=34 i lp=84000</v>
      </c>
      <c r="AN72" s="13" t="str">
        <f t="shared" si="10"/>
        <v>rokwzgl=35 i lp=84000</v>
      </c>
      <c r="AO72" s="13" t="str">
        <f t="shared" si="10"/>
        <v>rokwzgl=36 i lp=84000</v>
      </c>
      <c r="AP72" s="13" t="str">
        <f t="shared" si="10"/>
        <v>rokwzgl=37 i lp=84000</v>
      </c>
      <c r="AQ72" s="13" t="str">
        <f t="shared" si="10"/>
        <v>rokwzgl=38 i lp=84000</v>
      </c>
      <c r="AR72" s="13" t="str">
        <f t="shared" si="10"/>
        <v>rokwzgl=39 i lp=84000</v>
      </c>
    </row>
    <row r="73" spans="1:44">
      <c r="A73" s="29">
        <v>84100</v>
      </c>
      <c r="B73" s="12" t="s">
        <v>210</v>
      </c>
      <c r="C73" s="13" t="s">
        <v>161</v>
      </c>
      <c r="D73" s="13" t="str">
        <f t="shared" si="23"/>
        <v>rokwzgl=0 i lp=84100</v>
      </c>
      <c r="E73" s="13" t="str">
        <f t="shared" si="23"/>
        <v>rokwzgl=0 i lp=84100</v>
      </c>
      <c r="F73" s="13" t="str">
        <f t="shared" si="23"/>
        <v>rokwzgl=1 i lp=84100</v>
      </c>
      <c r="G73" s="13" t="str">
        <f t="shared" si="23"/>
        <v>rokwzgl=2 i lp=84100</v>
      </c>
      <c r="H73" s="13" t="str">
        <f t="shared" si="23"/>
        <v>rokwzgl=3 i lp=84100</v>
      </c>
      <c r="I73" s="13" t="str">
        <f t="shared" si="23"/>
        <v>rokwzgl=4 i lp=84100</v>
      </c>
      <c r="J73" s="13" t="str">
        <f t="shared" si="23"/>
        <v>rokwzgl=5 i lp=84100</v>
      </c>
      <c r="K73" s="13" t="str">
        <f t="shared" si="23"/>
        <v>rokwzgl=6 i lp=84100</v>
      </c>
      <c r="L73" s="13" t="str">
        <f t="shared" si="23"/>
        <v>rokwzgl=7 i lp=84100</v>
      </c>
      <c r="M73" s="13" t="str">
        <f t="shared" si="23"/>
        <v>rokwzgl=8 i lp=84100</v>
      </c>
      <c r="N73" s="13" t="str">
        <f t="shared" si="24"/>
        <v>rokwzgl=9 i lp=84100</v>
      </c>
      <c r="O73" s="13" t="str">
        <f t="shared" si="24"/>
        <v>rokwzgl=10 i lp=84100</v>
      </c>
      <c r="P73" s="13" t="str">
        <f t="shared" si="24"/>
        <v>rokwzgl=11 i lp=84100</v>
      </c>
      <c r="Q73" s="13" t="str">
        <f t="shared" si="24"/>
        <v>rokwzgl=12 i lp=84100</v>
      </c>
      <c r="R73" s="13" t="str">
        <f t="shared" si="24"/>
        <v>rokwzgl=13 i lp=84100</v>
      </c>
      <c r="S73" s="13" t="str">
        <f t="shared" si="24"/>
        <v>rokwzgl=14 i lp=84100</v>
      </c>
      <c r="T73" s="13" t="str">
        <f t="shared" si="24"/>
        <v>rokwzgl=15 i lp=84100</v>
      </c>
      <c r="U73" s="13" t="str">
        <f t="shared" si="24"/>
        <v>rokwzgl=16 i lp=84100</v>
      </c>
      <c r="V73" s="13" t="str">
        <f t="shared" si="24"/>
        <v>rokwzgl=17 i lp=84100</v>
      </c>
      <c r="W73" s="13" t="str">
        <f t="shared" si="24"/>
        <v>rokwzgl=18 i lp=84100</v>
      </c>
      <c r="X73" s="13" t="str">
        <f t="shared" si="25"/>
        <v>rokwzgl=19 i lp=84100</v>
      </c>
      <c r="Y73" s="13" t="str">
        <f t="shared" si="25"/>
        <v>rokwzgl=20 i lp=84100</v>
      </c>
      <c r="Z73" s="13" t="str">
        <f t="shared" si="25"/>
        <v>rokwzgl=21 i lp=84100</v>
      </c>
      <c r="AA73" s="13" t="str">
        <f t="shared" si="25"/>
        <v>rokwzgl=22 i lp=84100</v>
      </c>
      <c r="AB73" s="13" t="str">
        <f t="shared" si="25"/>
        <v>rokwzgl=23 i lp=84100</v>
      </c>
      <c r="AC73" s="13" t="str">
        <f t="shared" si="25"/>
        <v>rokwzgl=24 i lp=84100</v>
      </c>
      <c r="AD73" s="13" t="str">
        <f t="shared" si="25"/>
        <v>rokwzgl=25 i lp=84100</v>
      </c>
      <c r="AE73" s="13" t="str">
        <f t="shared" si="25"/>
        <v>rokwzgl=26 i lp=84100</v>
      </c>
      <c r="AF73" s="13" t="str">
        <f t="shared" si="25"/>
        <v>rokwzgl=27 i lp=84100</v>
      </c>
      <c r="AG73" s="13" t="str">
        <f t="shared" si="25"/>
        <v>rokwzgl=28 i lp=84100</v>
      </c>
      <c r="AH73" s="13" t="str">
        <f t="shared" si="25"/>
        <v>rokwzgl=29 i lp=84100</v>
      </c>
      <c r="AI73" s="13" t="str">
        <f t="shared" si="25"/>
        <v>rokwzgl=30 i lp=84100</v>
      </c>
      <c r="AJ73" s="13" t="str">
        <f t="shared" si="21"/>
        <v>rokwzgl=31 i lp=84100</v>
      </c>
      <c r="AK73" s="13" t="str">
        <f t="shared" si="21"/>
        <v>rokwzgl=32 i lp=84100</v>
      </c>
      <c r="AL73" s="13" t="str">
        <f t="shared" si="21"/>
        <v>rokwzgl=33 i lp=84100</v>
      </c>
      <c r="AM73" s="13" t="str">
        <f t="shared" si="21"/>
        <v>rokwzgl=34 i lp=84100</v>
      </c>
      <c r="AN73" s="13" t="str">
        <f t="shared" si="10"/>
        <v>rokwzgl=35 i lp=84100</v>
      </c>
      <c r="AO73" s="13" t="str">
        <f t="shared" si="10"/>
        <v>rokwzgl=36 i lp=84100</v>
      </c>
      <c r="AP73" s="13" t="str">
        <f t="shared" si="10"/>
        <v>rokwzgl=37 i lp=84100</v>
      </c>
      <c r="AQ73" s="13" t="str">
        <f t="shared" si="10"/>
        <v>rokwzgl=38 i lp=84100</v>
      </c>
      <c r="AR73" s="13" t="str">
        <f t="shared" si="10"/>
        <v>rokwzgl=39 i lp=84100</v>
      </c>
    </row>
    <row r="74" spans="1:44">
      <c r="A74" s="29">
        <v>85100</v>
      </c>
      <c r="B74" s="12" t="s">
        <v>322</v>
      </c>
      <c r="D74" s="13" t="str">
        <f t="shared" si="23"/>
        <v>rokwzgl=0 i lp=85100</v>
      </c>
      <c r="E74" s="13" t="str">
        <f t="shared" si="23"/>
        <v>rokwzgl=0 i lp=85100</v>
      </c>
      <c r="F74" s="13" t="str">
        <f t="shared" si="23"/>
        <v>rokwzgl=1 i lp=85100</v>
      </c>
      <c r="G74" s="13" t="str">
        <f t="shared" si="23"/>
        <v>rokwzgl=2 i lp=85100</v>
      </c>
      <c r="H74" s="13" t="str">
        <f t="shared" si="23"/>
        <v>rokwzgl=3 i lp=85100</v>
      </c>
      <c r="I74" s="13" t="str">
        <f t="shared" si="23"/>
        <v>rokwzgl=4 i lp=85100</v>
      </c>
      <c r="J74" s="13" t="str">
        <f t="shared" si="23"/>
        <v>rokwzgl=5 i lp=85100</v>
      </c>
      <c r="K74" s="13" t="str">
        <f t="shared" si="23"/>
        <v>rokwzgl=6 i lp=85100</v>
      </c>
      <c r="L74" s="13" t="str">
        <f t="shared" si="23"/>
        <v>rokwzgl=7 i lp=85100</v>
      </c>
      <c r="M74" s="13" t="str">
        <f t="shared" si="23"/>
        <v>rokwzgl=8 i lp=85100</v>
      </c>
      <c r="N74" s="13" t="str">
        <f t="shared" si="24"/>
        <v>rokwzgl=9 i lp=85100</v>
      </c>
      <c r="O74" s="13" t="str">
        <f t="shared" si="24"/>
        <v>rokwzgl=10 i lp=85100</v>
      </c>
      <c r="P74" s="13" t="str">
        <f t="shared" si="24"/>
        <v>rokwzgl=11 i lp=85100</v>
      </c>
      <c r="Q74" s="13" t="str">
        <f t="shared" si="24"/>
        <v>rokwzgl=12 i lp=85100</v>
      </c>
      <c r="R74" s="13" t="str">
        <f t="shared" si="24"/>
        <v>rokwzgl=13 i lp=85100</v>
      </c>
      <c r="S74" s="13" t="str">
        <f t="shared" si="24"/>
        <v>rokwzgl=14 i lp=85100</v>
      </c>
      <c r="T74" s="13" t="str">
        <f t="shared" si="24"/>
        <v>rokwzgl=15 i lp=85100</v>
      </c>
      <c r="U74" s="13" t="str">
        <f t="shared" si="24"/>
        <v>rokwzgl=16 i lp=85100</v>
      </c>
      <c r="V74" s="13" t="str">
        <f t="shared" si="24"/>
        <v>rokwzgl=17 i lp=85100</v>
      </c>
      <c r="W74" s="13" t="str">
        <f t="shared" si="24"/>
        <v>rokwzgl=18 i lp=85100</v>
      </c>
      <c r="X74" s="13" t="str">
        <f t="shared" si="25"/>
        <v>rokwzgl=19 i lp=85100</v>
      </c>
      <c r="Y74" s="13" t="str">
        <f t="shared" si="25"/>
        <v>rokwzgl=20 i lp=85100</v>
      </c>
      <c r="Z74" s="13" t="str">
        <f t="shared" si="25"/>
        <v>rokwzgl=21 i lp=85100</v>
      </c>
      <c r="AA74" s="13" t="str">
        <f t="shared" si="25"/>
        <v>rokwzgl=22 i lp=85100</v>
      </c>
      <c r="AB74" s="13" t="str">
        <f t="shared" si="25"/>
        <v>rokwzgl=23 i lp=85100</v>
      </c>
      <c r="AC74" s="13" t="str">
        <f t="shared" si="25"/>
        <v>rokwzgl=24 i lp=85100</v>
      </c>
      <c r="AD74" s="13" t="str">
        <f t="shared" si="25"/>
        <v>rokwzgl=25 i lp=85100</v>
      </c>
      <c r="AE74" s="13" t="str">
        <f t="shared" si="25"/>
        <v>rokwzgl=26 i lp=85100</v>
      </c>
      <c r="AF74" s="13" t="str">
        <f t="shared" si="25"/>
        <v>rokwzgl=27 i lp=85100</v>
      </c>
      <c r="AG74" s="13" t="str">
        <f t="shared" si="25"/>
        <v>rokwzgl=28 i lp=85100</v>
      </c>
      <c r="AH74" s="13" t="str">
        <f t="shared" si="25"/>
        <v>rokwzgl=29 i lp=85100</v>
      </c>
      <c r="AI74" s="13" t="str">
        <f t="shared" si="25"/>
        <v>rokwzgl=30 i lp=85100</v>
      </c>
      <c r="AJ74" s="13" t="str">
        <f t="shared" si="21"/>
        <v>rokwzgl=31 i lp=85100</v>
      </c>
      <c r="AK74" s="13" t="str">
        <f t="shared" si="21"/>
        <v>rokwzgl=32 i lp=85100</v>
      </c>
      <c r="AL74" s="13" t="str">
        <f t="shared" si="21"/>
        <v>rokwzgl=33 i lp=85100</v>
      </c>
      <c r="AM74" s="13" t="str">
        <f t="shared" si="21"/>
        <v>rokwzgl=34 i lp=85100</v>
      </c>
      <c r="AN74" s="13" t="str">
        <f t="shared" si="10"/>
        <v>rokwzgl=35 i lp=85100</v>
      </c>
      <c r="AO74" s="13" t="str">
        <f t="shared" si="10"/>
        <v>rokwzgl=36 i lp=85100</v>
      </c>
      <c r="AP74" s="13" t="str">
        <f t="shared" si="10"/>
        <v>rokwzgl=37 i lp=85100</v>
      </c>
      <c r="AQ74" s="13" t="str">
        <f t="shared" si="10"/>
        <v>rokwzgl=38 i lp=85100</v>
      </c>
      <c r="AR74" s="13" t="str">
        <f t="shared" si="10"/>
        <v>rokwzgl=39 i lp=85100</v>
      </c>
    </row>
    <row r="75" spans="1:44">
      <c r="A75" s="29">
        <v>86100</v>
      </c>
      <c r="B75" s="12" t="s">
        <v>323</v>
      </c>
      <c r="D75" s="13" t="str">
        <f t="shared" si="23"/>
        <v>rokwzgl=0 i lp=86100</v>
      </c>
      <c r="E75" s="13" t="str">
        <f t="shared" si="23"/>
        <v>rokwzgl=0 i lp=86100</v>
      </c>
      <c r="F75" s="13" t="str">
        <f t="shared" si="23"/>
        <v>rokwzgl=1 i lp=86100</v>
      </c>
      <c r="G75" s="13" t="str">
        <f t="shared" si="23"/>
        <v>rokwzgl=2 i lp=86100</v>
      </c>
      <c r="H75" s="13" t="str">
        <f t="shared" si="23"/>
        <v>rokwzgl=3 i lp=86100</v>
      </c>
      <c r="I75" s="13" t="str">
        <f t="shared" si="23"/>
        <v>rokwzgl=4 i lp=86100</v>
      </c>
      <c r="J75" s="13" t="str">
        <f t="shared" si="23"/>
        <v>rokwzgl=5 i lp=86100</v>
      </c>
      <c r="K75" s="13" t="str">
        <f t="shared" si="23"/>
        <v>rokwzgl=6 i lp=86100</v>
      </c>
      <c r="L75" s="13" t="str">
        <f t="shared" si="23"/>
        <v>rokwzgl=7 i lp=86100</v>
      </c>
      <c r="M75" s="13" t="str">
        <f t="shared" si="23"/>
        <v>rokwzgl=8 i lp=86100</v>
      </c>
      <c r="N75" s="13" t="str">
        <f t="shared" si="24"/>
        <v>rokwzgl=9 i lp=86100</v>
      </c>
      <c r="O75" s="13" t="str">
        <f t="shared" si="24"/>
        <v>rokwzgl=10 i lp=86100</v>
      </c>
      <c r="P75" s="13" t="str">
        <f t="shared" si="24"/>
        <v>rokwzgl=11 i lp=86100</v>
      </c>
      <c r="Q75" s="13" t="str">
        <f t="shared" si="24"/>
        <v>rokwzgl=12 i lp=86100</v>
      </c>
      <c r="R75" s="13" t="str">
        <f t="shared" si="24"/>
        <v>rokwzgl=13 i lp=86100</v>
      </c>
      <c r="S75" s="13" t="str">
        <f t="shared" si="24"/>
        <v>rokwzgl=14 i lp=86100</v>
      </c>
      <c r="T75" s="13" t="str">
        <f t="shared" si="24"/>
        <v>rokwzgl=15 i lp=86100</v>
      </c>
      <c r="U75" s="13" t="str">
        <f t="shared" si="24"/>
        <v>rokwzgl=16 i lp=86100</v>
      </c>
      <c r="V75" s="13" t="str">
        <f t="shared" si="24"/>
        <v>rokwzgl=17 i lp=86100</v>
      </c>
      <c r="W75" s="13" t="str">
        <f t="shared" si="24"/>
        <v>rokwzgl=18 i lp=86100</v>
      </c>
      <c r="X75" s="13" t="str">
        <f t="shared" si="25"/>
        <v>rokwzgl=19 i lp=86100</v>
      </c>
      <c r="Y75" s="13" t="str">
        <f t="shared" si="25"/>
        <v>rokwzgl=20 i lp=86100</v>
      </c>
      <c r="Z75" s="13" t="str">
        <f t="shared" si="25"/>
        <v>rokwzgl=21 i lp=86100</v>
      </c>
      <c r="AA75" s="13" t="str">
        <f t="shared" si="25"/>
        <v>rokwzgl=22 i lp=86100</v>
      </c>
      <c r="AB75" s="13" t="str">
        <f t="shared" si="25"/>
        <v>rokwzgl=23 i lp=86100</v>
      </c>
      <c r="AC75" s="13" t="str">
        <f t="shared" si="25"/>
        <v>rokwzgl=24 i lp=86100</v>
      </c>
      <c r="AD75" s="13" t="str">
        <f t="shared" si="25"/>
        <v>rokwzgl=25 i lp=86100</v>
      </c>
      <c r="AE75" s="13" t="str">
        <f t="shared" si="25"/>
        <v>rokwzgl=26 i lp=86100</v>
      </c>
      <c r="AF75" s="13" t="str">
        <f t="shared" si="25"/>
        <v>rokwzgl=27 i lp=86100</v>
      </c>
      <c r="AG75" s="13" t="str">
        <f t="shared" si="25"/>
        <v>rokwzgl=28 i lp=86100</v>
      </c>
      <c r="AH75" s="13" t="str">
        <f t="shared" si="25"/>
        <v>rokwzgl=29 i lp=86100</v>
      </c>
      <c r="AI75" s="13" t="str">
        <f t="shared" si="25"/>
        <v>rokwzgl=30 i lp=86100</v>
      </c>
      <c r="AJ75" s="13" t="str">
        <f t="shared" si="21"/>
        <v>rokwzgl=31 i lp=86100</v>
      </c>
      <c r="AK75" s="13" t="str">
        <f t="shared" si="21"/>
        <v>rokwzgl=32 i lp=86100</v>
      </c>
      <c r="AL75" s="13" t="str">
        <f t="shared" si="21"/>
        <v>rokwzgl=33 i lp=86100</v>
      </c>
      <c r="AM75" s="13" t="str">
        <f t="shared" si="21"/>
        <v>rokwzgl=34 i lp=86100</v>
      </c>
      <c r="AN75" s="13" t="str">
        <f t="shared" si="10"/>
        <v>rokwzgl=35 i lp=86100</v>
      </c>
      <c r="AO75" s="13" t="str">
        <f t="shared" si="10"/>
        <v>rokwzgl=36 i lp=86100</v>
      </c>
      <c r="AP75" s="13" t="str">
        <f t="shared" si="10"/>
        <v>rokwzgl=37 i lp=86100</v>
      </c>
      <c r="AQ75" s="13" t="str">
        <f t="shared" si="10"/>
        <v>rokwzgl=38 i lp=86100</v>
      </c>
      <c r="AR75" s="13" t="str">
        <f t="shared" si="10"/>
        <v>rokwzgl=39 i lp=86100</v>
      </c>
    </row>
    <row r="76" spans="1:44">
      <c r="A76" s="29">
        <v>87100</v>
      </c>
      <c r="B76" s="12" t="s">
        <v>324</v>
      </c>
      <c r="D76" s="13" t="str">
        <f t="shared" si="23"/>
        <v>rokwzgl=0 i lp=87100</v>
      </c>
      <c r="E76" s="13" t="str">
        <f t="shared" si="23"/>
        <v>rokwzgl=0 i lp=87100</v>
      </c>
      <c r="F76" s="13" t="str">
        <f t="shared" si="23"/>
        <v>rokwzgl=1 i lp=87100</v>
      </c>
      <c r="G76" s="13" t="str">
        <f t="shared" si="23"/>
        <v>rokwzgl=2 i lp=87100</v>
      </c>
      <c r="H76" s="13" t="str">
        <f t="shared" si="23"/>
        <v>rokwzgl=3 i lp=87100</v>
      </c>
      <c r="I76" s="13" t="str">
        <f t="shared" si="23"/>
        <v>rokwzgl=4 i lp=87100</v>
      </c>
      <c r="J76" s="13" t="str">
        <f t="shared" si="23"/>
        <v>rokwzgl=5 i lp=87100</v>
      </c>
      <c r="K76" s="13" t="str">
        <f t="shared" si="23"/>
        <v>rokwzgl=6 i lp=87100</v>
      </c>
      <c r="L76" s="13" t="str">
        <f t="shared" si="23"/>
        <v>rokwzgl=7 i lp=87100</v>
      </c>
      <c r="M76" s="13" t="str">
        <f t="shared" si="23"/>
        <v>rokwzgl=8 i lp=87100</v>
      </c>
      <c r="N76" s="13" t="str">
        <f t="shared" si="24"/>
        <v>rokwzgl=9 i lp=87100</v>
      </c>
      <c r="O76" s="13" t="str">
        <f t="shared" si="24"/>
        <v>rokwzgl=10 i lp=87100</v>
      </c>
      <c r="P76" s="13" t="str">
        <f t="shared" si="24"/>
        <v>rokwzgl=11 i lp=87100</v>
      </c>
      <c r="Q76" s="13" t="str">
        <f t="shared" si="24"/>
        <v>rokwzgl=12 i lp=87100</v>
      </c>
      <c r="R76" s="13" t="str">
        <f t="shared" si="24"/>
        <v>rokwzgl=13 i lp=87100</v>
      </c>
      <c r="S76" s="13" t="str">
        <f t="shared" si="24"/>
        <v>rokwzgl=14 i lp=87100</v>
      </c>
      <c r="T76" s="13" t="str">
        <f t="shared" si="24"/>
        <v>rokwzgl=15 i lp=87100</v>
      </c>
      <c r="U76" s="13" t="str">
        <f t="shared" si="24"/>
        <v>rokwzgl=16 i lp=87100</v>
      </c>
      <c r="V76" s="13" t="str">
        <f t="shared" si="24"/>
        <v>rokwzgl=17 i lp=87100</v>
      </c>
      <c r="W76" s="13" t="str">
        <f t="shared" si="24"/>
        <v>rokwzgl=18 i lp=87100</v>
      </c>
      <c r="X76" s="13" t="str">
        <f t="shared" si="25"/>
        <v>rokwzgl=19 i lp=87100</v>
      </c>
      <c r="Y76" s="13" t="str">
        <f t="shared" si="25"/>
        <v>rokwzgl=20 i lp=87100</v>
      </c>
      <c r="Z76" s="13" t="str">
        <f t="shared" si="25"/>
        <v>rokwzgl=21 i lp=87100</v>
      </c>
      <c r="AA76" s="13" t="str">
        <f t="shared" si="25"/>
        <v>rokwzgl=22 i lp=87100</v>
      </c>
      <c r="AB76" s="13" t="str">
        <f t="shared" si="25"/>
        <v>rokwzgl=23 i lp=87100</v>
      </c>
      <c r="AC76" s="13" t="str">
        <f t="shared" si="25"/>
        <v>rokwzgl=24 i lp=87100</v>
      </c>
      <c r="AD76" s="13" t="str">
        <f t="shared" si="25"/>
        <v>rokwzgl=25 i lp=87100</v>
      </c>
      <c r="AE76" s="13" t="str">
        <f t="shared" si="25"/>
        <v>rokwzgl=26 i lp=87100</v>
      </c>
      <c r="AF76" s="13" t="str">
        <f t="shared" si="25"/>
        <v>rokwzgl=27 i lp=87100</v>
      </c>
      <c r="AG76" s="13" t="str">
        <f t="shared" si="25"/>
        <v>rokwzgl=28 i lp=87100</v>
      </c>
      <c r="AH76" s="13" t="str">
        <f t="shared" si="25"/>
        <v>rokwzgl=29 i lp=87100</v>
      </c>
      <c r="AI76" s="13" t="str">
        <f t="shared" si="25"/>
        <v>rokwzgl=30 i lp=87100</v>
      </c>
      <c r="AJ76" s="13" t="str">
        <f t="shared" si="21"/>
        <v>rokwzgl=31 i lp=87100</v>
      </c>
      <c r="AK76" s="13" t="str">
        <f t="shared" si="21"/>
        <v>rokwzgl=32 i lp=87100</v>
      </c>
      <c r="AL76" s="13" t="str">
        <f t="shared" si="21"/>
        <v>rokwzgl=33 i lp=87100</v>
      </c>
      <c r="AM76" s="13" t="str">
        <f t="shared" si="21"/>
        <v>rokwzgl=34 i lp=87100</v>
      </c>
      <c r="AN76" s="13" t="str">
        <f t="shared" si="10"/>
        <v>rokwzgl=35 i lp=87100</v>
      </c>
      <c r="AO76" s="13" t="str">
        <f t="shared" si="10"/>
        <v>rokwzgl=36 i lp=87100</v>
      </c>
      <c r="AP76" s="13" t="str">
        <f t="shared" si="10"/>
        <v>rokwzgl=37 i lp=87100</v>
      </c>
      <c r="AQ76" s="13" t="str">
        <f t="shared" si="10"/>
        <v>rokwzgl=38 i lp=87100</v>
      </c>
      <c r="AR76" s="13" t="str">
        <f t="shared" si="10"/>
        <v>rokwzgl=39 i lp=87100</v>
      </c>
    </row>
    <row r="77" spans="1:44">
      <c r="A77" s="29">
        <v>87110</v>
      </c>
      <c r="B77" s="12" t="s">
        <v>325</v>
      </c>
      <c r="D77" s="13" t="str">
        <f t="shared" ref="D77:G78" si="26">+"rokwzgl="&amp;D$9&amp;" i lp="&amp;$A77</f>
        <v>rokwzgl=0 i lp=87110</v>
      </c>
      <c r="E77" s="13" t="str">
        <f t="shared" si="26"/>
        <v>rokwzgl=0 i lp=87110</v>
      </c>
      <c r="F77" s="13" t="str">
        <f t="shared" si="26"/>
        <v>rokwzgl=1 i lp=87110</v>
      </c>
      <c r="G77" s="13" t="str">
        <f t="shared" si="26"/>
        <v>rokwzgl=2 i lp=87110</v>
      </c>
      <c r="H77" s="13" t="str">
        <f t="shared" ref="D77:M103" si="27">+"rokwzgl="&amp;H$9&amp;" i lp="&amp;$A77</f>
        <v>rokwzgl=3 i lp=87110</v>
      </c>
      <c r="I77" s="13" t="str">
        <f t="shared" si="27"/>
        <v>rokwzgl=4 i lp=87110</v>
      </c>
      <c r="J77" s="13" t="str">
        <f t="shared" si="27"/>
        <v>rokwzgl=5 i lp=87110</v>
      </c>
      <c r="K77" s="13" t="str">
        <f t="shared" si="27"/>
        <v>rokwzgl=6 i lp=87110</v>
      </c>
      <c r="L77" s="13" t="str">
        <f t="shared" si="27"/>
        <v>rokwzgl=7 i lp=87110</v>
      </c>
      <c r="M77" s="13" t="str">
        <f t="shared" si="27"/>
        <v>rokwzgl=8 i lp=87110</v>
      </c>
      <c r="N77" s="13" t="str">
        <f t="shared" ref="N77:W78" si="28">+"rokwzgl="&amp;N$9&amp;" i lp="&amp;$A77</f>
        <v>rokwzgl=9 i lp=87110</v>
      </c>
      <c r="O77" s="13" t="str">
        <f t="shared" si="28"/>
        <v>rokwzgl=10 i lp=87110</v>
      </c>
      <c r="P77" s="13" t="str">
        <f t="shared" si="28"/>
        <v>rokwzgl=11 i lp=87110</v>
      </c>
      <c r="Q77" s="13" t="str">
        <f t="shared" si="28"/>
        <v>rokwzgl=12 i lp=87110</v>
      </c>
      <c r="R77" s="13" t="str">
        <f t="shared" si="28"/>
        <v>rokwzgl=13 i lp=87110</v>
      </c>
      <c r="S77" s="13" t="str">
        <f t="shared" si="28"/>
        <v>rokwzgl=14 i lp=87110</v>
      </c>
      <c r="T77" s="13" t="str">
        <f t="shared" si="28"/>
        <v>rokwzgl=15 i lp=87110</v>
      </c>
      <c r="U77" s="13" t="str">
        <f t="shared" si="28"/>
        <v>rokwzgl=16 i lp=87110</v>
      </c>
      <c r="V77" s="13" t="str">
        <f t="shared" si="28"/>
        <v>rokwzgl=17 i lp=87110</v>
      </c>
      <c r="W77" s="13" t="str">
        <f t="shared" si="28"/>
        <v>rokwzgl=18 i lp=87110</v>
      </c>
      <c r="X77" s="13" t="str">
        <f t="shared" si="25"/>
        <v>rokwzgl=19 i lp=87110</v>
      </c>
      <c r="Y77" s="13" t="str">
        <f t="shared" si="25"/>
        <v>rokwzgl=20 i lp=87110</v>
      </c>
      <c r="Z77" s="13" t="str">
        <f t="shared" si="25"/>
        <v>rokwzgl=21 i lp=87110</v>
      </c>
      <c r="AA77" s="13" t="str">
        <f t="shared" si="25"/>
        <v>rokwzgl=22 i lp=87110</v>
      </c>
      <c r="AB77" s="13" t="str">
        <f t="shared" si="25"/>
        <v>rokwzgl=23 i lp=87110</v>
      </c>
      <c r="AC77" s="13" t="str">
        <f t="shared" si="25"/>
        <v>rokwzgl=24 i lp=87110</v>
      </c>
      <c r="AD77" s="13" t="str">
        <f t="shared" si="25"/>
        <v>rokwzgl=25 i lp=87110</v>
      </c>
      <c r="AE77" s="13" t="str">
        <f t="shared" si="25"/>
        <v>rokwzgl=26 i lp=87110</v>
      </c>
      <c r="AF77" s="13" t="str">
        <f t="shared" si="25"/>
        <v>rokwzgl=27 i lp=87110</v>
      </c>
      <c r="AG77" s="13" t="str">
        <f t="shared" si="25"/>
        <v>rokwzgl=28 i lp=87110</v>
      </c>
      <c r="AH77" s="13" t="str">
        <f t="shared" si="25"/>
        <v>rokwzgl=29 i lp=87110</v>
      </c>
      <c r="AI77" s="13" t="str">
        <f t="shared" si="25"/>
        <v>rokwzgl=30 i lp=87110</v>
      </c>
      <c r="AJ77" s="13" t="str">
        <f t="shared" si="21"/>
        <v>rokwzgl=31 i lp=87110</v>
      </c>
      <c r="AK77" s="13" t="str">
        <f t="shared" si="21"/>
        <v>rokwzgl=32 i lp=87110</v>
      </c>
      <c r="AL77" s="13" t="str">
        <f t="shared" si="21"/>
        <v>rokwzgl=33 i lp=87110</v>
      </c>
      <c r="AM77" s="13" t="str">
        <f t="shared" si="21"/>
        <v>rokwzgl=34 i lp=87110</v>
      </c>
      <c r="AN77" s="13" t="str">
        <f t="shared" si="10"/>
        <v>rokwzgl=35 i lp=87110</v>
      </c>
      <c r="AO77" s="13" t="str">
        <f t="shared" si="10"/>
        <v>rokwzgl=36 i lp=87110</v>
      </c>
      <c r="AP77" s="13" t="str">
        <f t="shared" si="10"/>
        <v>rokwzgl=37 i lp=87110</v>
      </c>
      <c r="AQ77" s="13" t="str">
        <f t="shared" si="10"/>
        <v>rokwzgl=38 i lp=87110</v>
      </c>
      <c r="AR77" s="13" t="str">
        <f t="shared" si="10"/>
        <v>rokwzgl=39 i lp=87110</v>
      </c>
    </row>
    <row r="78" spans="1:44">
      <c r="A78" s="29">
        <v>87120</v>
      </c>
      <c r="B78" s="12" t="s">
        <v>388</v>
      </c>
      <c r="C78" s="13" t="s">
        <v>391</v>
      </c>
      <c r="D78" s="13" t="str">
        <f t="shared" si="26"/>
        <v>rokwzgl=0 i lp=87120</v>
      </c>
      <c r="E78" s="13" t="str">
        <f t="shared" si="26"/>
        <v>rokwzgl=0 i lp=87120</v>
      </c>
      <c r="F78" s="13" t="str">
        <f t="shared" si="26"/>
        <v>rokwzgl=1 i lp=87120</v>
      </c>
      <c r="G78" s="13" t="str">
        <f t="shared" si="26"/>
        <v>rokwzgl=2 i lp=87120</v>
      </c>
      <c r="H78" s="13" t="str">
        <f t="shared" ref="H78:M78" si="29">+"rokwzgl="&amp;H$9&amp;" i lp="&amp;$A78</f>
        <v>rokwzgl=3 i lp=87120</v>
      </c>
      <c r="I78" s="13" t="str">
        <f t="shared" si="29"/>
        <v>rokwzgl=4 i lp=87120</v>
      </c>
      <c r="J78" s="13" t="str">
        <f t="shared" si="29"/>
        <v>rokwzgl=5 i lp=87120</v>
      </c>
      <c r="K78" s="13" t="str">
        <f t="shared" si="29"/>
        <v>rokwzgl=6 i lp=87120</v>
      </c>
      <c r="L78" s="13" t="str">
        <f t="shared" si="29"/>
        <v>rokwzgl=7 i lp=87120</v>
      </c>
      <c r="M78" s="13" t="str">
        <f t="shared" si="29"/>
        <v>rokwzgl=8 i lp=87120</v>
      </c>
      <c r="N78" s="13" t="str">
        <f t="shared" si="28"/>
        <v>rokwzgl=9 i lp=87120</v>
      </c>
      <c r="O78" s="13" t="str">
        <f t="shared" si="28"/>
        <v>rokwzgl=10 i lp=87120</v>
      </c>
      <c r="P78" s="13" t="str">
        <f t="shared" si="28"/>
        <v>rokwzgl=11 i lp=87120</v>
      </c>
      <c r="Q78" s="13" t="str">
        <f t="shared" si="28"/>
        <v>rokwzgl=12 i lp=87120</v>
      </c>
      <c r="R78" s="13" t="str">
        <f t="shared" si="28"/>
        <v>rokwzgl=13 i lp=87120</v>
      </c>
      <c r="S78" s="13" t="str">
        <f t="shared" si="28"/>
        <v>rokwzgl=14 i lp=87120</v>
      </c>
      <c r="T78" s="13" t="str">
        <f t="shared" si="28"/>
        <v>rokwzgl=15 i lp=87120</v>
      </c>
      <c r="U78" s="13" t="str">
        <f t="shared" si="28"/>
        <v>rokwzgl=16 i lp=87120</v>
      </c>
      <c r="V78" s="13" t="str">
        <f t="shared" si="28"/>
        <v>rokwzgl=17 i lp=87120</v>
      </c>
      <c r="W78" s="13" t="str">
        <f t="shared" si="28"/>
        <v>rokwzgl=18 i lp=87120</v>
      </c>
      <c r="X78" s="13" t="str">
        <f t="shared" si="25"/>
        <v>rokwzgl=19 i lp=87120</v>
      </c>
      <c r="Y78" s="13" t="str">
        <f t="shared" si="25"/>
        <v>rokwzgl=20 i lp=87120</v>
      </c>
      <c r="Z78" s="13" t="str">
        <f t="shared" si="25"/>
        <v>rokwzgl=21 i lp=87120</v>
      </c>
      <c r="AA78" s="13" t="str">
        <f t="shared" si="25"/>
        <v>rokwzgl=22 i lp=87120</v>
      </c>
      <c r="AB78" s="13" t="str">
        <f t="shared" si="25"/>
        <v>rokwzgl=23 i lp=87120</v>
      </c>
      <c r="AC78" s="13" t="str">
        <f t="shared" si="25"/>
        <v>rokwzgl=24 i lp=87120</v>
      </c>
      <c r="AD78" s="13" t="str">
        <f t="shared" si="25"/>
        <v>rokwzgl=25 i lp=87120</v>
      </c>
      <c r="AE78" s="13" t="str">
        <f t="shared" si="25"/>
        <v>rokwzgl=26 i lp=87120</v>
      </c>
      <c r="AF78" s="13" t="str">
        <f t="shared" si="25"/>
        <v>rokwzgl=27 i lp=87120</v>
      </c>
      <c r="AG78" s="13" t="str">
        <f t="shared" si="25"/>
        <v>rokwzgl=28 i lp=87120</v>
      </c>
      <c r="AH78" s="13" t="str">
        <f t="shared" si="25"/>
        <v>rokwzgl=29 i lp=87120</v>
      </c>
      <c r="AI78" s="13" t="str">
        <f t="shared" si="25"/>
        <v>rokwzgl=30 i lp=87120</v>
      </c>
      <c r="AJ78" s="13" t="str">
        <f t="shared" si="21"/>
        <v>rokwzgl=31 i lp=87120</v>
      </c>
      <c r="AK78" s="13" t="str">
        <f t="shared" si="21"/>
        <v>rokwzgl=32 i lp=87120</v>
      </c>
      <c r="AL78" s="13" t="str">
        <f t="shared" si="21"/>
        <v>rokwzgl=33 i lp=87120</v>
      </c>
      <c r="AM78" s="13" t="str">
        <f t="shared" si="21"/>
        <v>rokwzgl=34 i lp=87120</v>
      </c>
      <c r="AN78" s="13" t="str">
        <f>+"rokwzgl="&amp;AN$9&amp;" i lp="&amp;$A78</f>
        <v>rokwzgl=35 i lp=87120</v>
      </c>
      <c r="AO78" s="13" t="str">
        <f>+"rokwzgl="&amp;AO$9&amp;" i lp="&amp;$A78</f>
        <v>rokwzgl=36 i lp=87120</v>
      </c>
      <c r="AP78" s="13" t="str">
        <f>+"rokwzgl="&amp;AP$9&amp;" i lp="&amp;$A78</f>
        <v>rokwzgl=37 i lp=87120</v>
      </c>
      <c r="AQ78" s="13" t="str">
        <f>+"rokwzgl="&amp;AQ$9&amp;" i lp="&amp;$A78</f>
        <v>rokwzgl=38 i lp=87120</v>
      </c>
      <c r="AR78" s="13" t="str">
        <f>+"rokwzgl="&amp;AR$9&amp;" i lp="&amp;$A78</f>
        <v>rokwzgl=39 i lp=87120</v>
      </c>
    </row>
    <row r="79" spans="1:44">
      <c r="A79" s="29">
        <v>90000</v>
      </c>
      <c r="B79" s="12">
        <v>9</v>
      </c>
      <c r="C79" s="13" t="s">
        <v>102</v>
      </c>
      <c r="D79" s="13" t="str">
        <f t="shared" si="27"/>
        <v>rokwzgl=0 i lp=90000</v>
      </c>
      <c r="E79" s="13" t="str">
        <f t="shared" si="27"/>
        <v>rokwzgl=0 i lp=90000</v>
      </c>
      <c r="F79" s="13" t="str">
        <f t="shared" si="27"/>
        <v>rokwzgl=1 i lp=90000</v>
      </c>
      <c r="G79" s="13" t="str">
        <f t="shared" si="27"/>
        <v>rokwzgl=2 i lp=90000</v>
      </c>
      <c r="H79" s="13" t="str">
        <f t="shared" si="27"/>
        <v>rokwzgl=3 i lp=90000</v>
      </c>
      <c r="I79" s="13" t="str">
        <f t="shared" si="27"/>
        <v>rokwzgl=4 i lp=90000</v>
      </c>
      <c r="J79" s="13" t="str">
        <f t="shared" si="27"/>
        <v>rokwzgl=5 i lp=90000</v>
      </c>
      <c r="K79" s="13" t="str">
        <f t="shared" si="27"/>
        <v>rokwzgl=6 i lp=90000</v>
      </c>
      <c r="L79" s="13" t="str">
        <f t="shared" si="27"/>
        <v>rokwzgl=7 i lp=90000</v>
      </c>
      <c r="M79" s="13" t="str">
        <f t="shared" si="27"/>
        <v>rokwzgl=8 i lp=90000</v>
      </c>
      <c r="N79" s="13" t="str">
        <f t="shared" ref="N79:S79" si="30">+"rokwzgl="&amp;N$9&amp;" i lp="&amp;$A79</f>
        <v>rokwzgl=9 i lp=90000</v>
      </c>
      <c r="O79" s="13" t="str">
        <f t="shared" si="30"/>
        <v>rokwzgl=10 i lp=90000</v>
      </c>
      <c r="P79" s="13" t="str">
        <f t="shared" si="30"/>
        <v>rokwzgl=11 i lp=90000</v>
      </c>
      <c r="Q79" s="13" t="str">
        <f t="shared" si="30"/>
        <v>rokwzgl=12 i lp=90000</v>
      </c>
      <c r="R79" s="13" t="str">
        <f t="shared" si="30"/>
        <v>rokwzgl=13 i lp=90000</v>
      </c>
      <c r="S79" s="13" t="str">
        <f t="shared" si="30"/>
        <v>rokwzgl=14 i lp=90000</v>
      </c>
      <c r="T79" s="13" t="str">
        <f t="shared" ref="N79:W105" si="31">+"rokwzgl="&amp;T$9&amp;" i lp="&amp;$A79</f>
        <v>rokwzgl=15 i lp=90000</v>
      </c>
      <c r="U79" s="13" t="str">
        <f t="shared" si="31"/>
        <v>rokwzgl=16 i lp=90000</v>
      </c>
      <c r="V79" s="13" t="str">
        <f t="shared" si="31"/>
        <v>rokwzgl=17 i lp=90000</v>
      </c>
      <c r="W79" s="13" t="str">
        <f t="shared" si="31"/>
        <v>rokwzgl=18 i lp=90000</v>
      </c>
      <c r="X79" s="13" t="str">
        <f t="shared" si="25"/>
        <v>rokwzgl=19 i lp=90000</v>
      </c>
      <c r="Y79" s="13" t="str">
        <f t="shared" si="25"/>
        <v>rokwzgl=20 i lp=90000</v>
      </c>
      <c r="Z79" s="13" t="str">
        <f t="shared" si="25"/>
        <v>rokwzgl=21 i lp=90000</v>
      </c>
      <c r="AA79" s="13" t="str">
        <f t="shared" si="25"/>
        <v>rokwzgl=22 i lp=90000</v>
      </c>
      <c r="AB79" s="13" t="str">
        <f t="shared" si="25"/>
        <v>rokwzgl=23 i lp=90000</v>
      </c>
      <c r="AC79" s="13" t="str">
        <f t="shared" si="25"/>
        <v>rokwzgl=24 i lp=90000</v>
      </c>
      <c r="AD79" s="13" t="str">
        <f t="shared" si="25"/>
        <v>rokwzgl=25 i lp=90000</v>
      </c>
      <c r="AE79" s="13" t="str">
        <f t="shared" si="25"/>
        <v>rokwzgl=26 i lp=90000</v>
      </c>
      <c r="AF79" s="13" t="str">
        <f t="shared" si="25"/>
        <v>rokwzgl=27 i lp=90000</v>
      </c>
      <c r="AG79" s="13" t="str">
        <f t="shared" si="25"/>
        <v>rokwzgl=28 i lp=90000</v>
      </c>
      <c r="AH79" s="13" t="str">
        <f t="shared" si="25"/>
        <v>rokwzgl=29 i lp=90000</v>
      </c>
      <c r="AI79" s="13" t="str">
        <f t="shared" si="25"/>
        <v>rokwzgl=30 i lp=90000</v>
      </c>
      <c r="AJ79" s="13" t="str">
        <f t="shared" si="21"/>
        <v>rokwzgl=31 i lp=90000</v>
      </c>
      <c r="AK79" s="13" t="str">
        <f t="shared" si="21"/>
        <v>rokwzgl=32 i lp=90000</v>
      </c>
      <c r="AL79" s="13" t="str">
        <f t="shared" si="21"/>
        <v>rokwzgl=33 i lp=90000</v>
      </c>
      <c r="AM79" s="13" t="str">
        <f t="shared" si="21"/>
        <v>rokwzgl=34 i lp=90000</v>
      </c>
      <c r="AN79" s="13" t="str">
        <f t="shared" ref="AN79:AR118" si="32">+"rokwzgl="&amp;AN$9&amp;" i lp="&amp;$A79</f>
        <v>rokwzgl=35 i lp=90000</v>
      </c>
      <c r="AO79" s="13" t="str">
        <f t="shared" si="32"/>
        <v>rokwzgl=36 i lp=90000</v>
      </c>
      <c r="AP79" s="13" t="str">
        <f t="shared" si="32"/>
        <v>rokwzgl=37 i lp=90000</v>
      </c>
      <c r="AQ79" s="13" t="str">
        <f t="shared" si="32"/>
        <v>rokwzgl=38 i lp=90000</v>
      </c>
      <c r="AR79" s="13" t="str">
        <f t="shared" si="32"/>
        <v>rokwzgl=39 i lp=90000</v>
      </c>
    </row>
    <row r="80" spans="1:44">
      <c r="A80" s="29">
        <v>91000</v>
      </c>
      <c r="B80" s="12" t="s">
        <v>61</v>
      </c>
      <c r="C80" s="13" t="s">
        <v>162</v>
      </c>
      <c r="D80" s="13" t="str">
        <f t="shared" si="27"/>
        <v>rokwzgl=0 i lp=91000</v>
      </c>
      <c r="E80" s="13" t="str">
        <f t="shared" si="27"/>
        <v>rokwzgl=0 i lp=91000</v>
      </c>
      <c r="F80" s="13" t="str">
        <f t="shared" si="27"/>
        <v>rokwzgl=1 i lp=91000</v>
      </c>
      <c r="G80" s="13" t="str">
        <f t="shared" si="27"/>
        <v>rokwzgl=2 i lp=91000</v>
      </c>
      <c r="H80" s="13" t="str">
        <f t="shared" si="27"/>
        <v>rokwzgl=3 i lp=91000</v>
      </c>
      <c r="I80" s="13" t="str">
        <f t="shared" si="27"/>
        <v>rokwzgl=4 i lp=91000</v>
      </c>
      <c r="J80" s="13" t="str">
        <f t="shared" si="27"/>
        <v>rokwzgl=5 i lp=91000</v>
      </c>
      <c r="K80" s="13" t="str">
        <f t="shared" si="27"/>
        <v>rokwzgl=6 i lp=91000</v>
      </c>
      <c r="L80" s="13" t="str">
        <f t="shared" si="27"/>
        <v>rokwzgl=7 i lp=91000</v>
      </c>
      <c r="M80" s="13" t="str">
        <f t="shared" si="27"/>
        <v>rokwzgl=8 i lp=91000</v>
      </c>
      <c r="N80" s="13" t="str">
        <f t="shared" si="31"/>
        <v>rokwzgl=9 i lp=91000</v>
      </c>
      <c r="O80" s="13" t="str">
        <f t="shared" si="31"/>
        <v>rokwzgl=10 i lp=91000</v>
      </c>
      <c r="P80" s="13" t="str">
        <f t="shared" si="31"/>
        <v>rokwzgl=11 i lp=91000</v>
      </c>
      <c r="Q80" s="13" t="str">
        <f t="shared" si="31"/>
        <v>rokwzgl=12 i lp=91000</v>
      </c>
      <c r="R80" s="13" t="str">
        <f t="shared" si="31"/>
        <v>rokwzgl=13 i lp=91000</v>
      </c>
      <c r="S80" s="13" t="str">
        <f t="shared" si="31"/>
        <v>rokwzgl=14 i lp=91000</v>
      </c>
      <c r="T80" s="13" t="str">
        <f t="shared" si="31"/>
        <v>rokwzgl=15 i lp=91000</v>
      </c>
      <c r="U80" s="13" t="str">
        <f t="shared" si="31"/>
        <v>rokwzgl=16 i lp=91000</v>
      </c>
      <c r="V80" s="13" t="str">
        <f t="shared" si="31"/>
        <v>rokwzgl=17 i lp=91000</v>
      </c>
      <c r="W80" s="13" t="str">
        <f t="shared" si="31"/>
        <v>rokwzgl=18 i lp=91000</v>
      </c>
      <c r="X80" s="13" t="str">
        <f t="shared" si="25"/>
        <v>rokwzgl=19 i lp=91000</v>
      </c>
      <c r="Y80" s="13" t="str">
        <f t="shared" si="25"/>
        <v>rokwzgl=20 i lp=91000</v>
      </c>
      <c r="Z80" s="13" t="str">
        <f t="shared" si="25"/>
        <v>rokwzgl=21 i lp=91000</v>
      </c>
      <c r="AA80" s="13" t="str">
        <f t="shared" si="25"/>
        <v>rokwzgl=22 i lp=91000</v>
      </c>
      <c r="AB80" s="13" t="str">
        <f t="shared" si="25"/>
        <v>rokwzgl=23 i lp=91000</v>
      </c>
      <c r="AC80" s="13" t="str">
        <f t="shared" si="25"/>
        <v>rokwzgl=24 i lp=91000</v>
      </c>
      <c r="AD80" s="13" t="str">
        <f t="shared" si="25"/>
        <v>rokwzgl=25 i lp=91000</v>
      </c>
      <c r="AE80" s="13" t="str">
        <f t="shared" si="25"/>
        <v>rokwzgl=26 i lp=91000</v>
      </c>
      <c r="AF80" s="13" t="str">
        <f t="shared" si="25"/>
        <v>rokwzgl=27 i lp=91000</v>
      </c>
      <c r="AG80" s="13" t="str">
        <f t="shared" si="25"/>
        <v>rokwzgl=28 i lp=91000</v>
      </c>
      <c r="AH80" s="13" t="str">
        <f t="shared" si="25"/>
        <v>rokwzgl=29 i lp=91000</v>
      </c>
      <c r="AI80" s="13" t="str">
        <f t="shared" si="25"/>
        <v>rokwzgl=30 i lp=91000</v>
      </c>
      <c r="AJ80" s="13" t="str">
        <f t="shared" si="21"/>
        <v>rokwzgl=31 i lp=91000</v>
      </c>
      <c r="AK80" s="13" t="str">
        <f t="shared" si="21"/>
        <v>rokwzgl=32 i lp=91000</v>
      </c>
      <c r="AL80" s="13" t="str">
        <f t="shared" si="21"/>
        <v>rokwzgl=33 i lp=91000</v>
      </c>
      <c r="AM80" s="13" t="str">
        <f t="shared" si="21"/>
        <v>rokwzgl=34 i lp=91000</v>
      </c>
      <c r="AN80" s="13" t="str">
        <f t="shared" si="32"/>
        <v>rokwzgl=35 i lp=91000</v>
      </c>
      <c r="AO80" s="13" t="str">
        <f t="shared" si="32"/>
        <v>rokwzgl=36 i lp=91000</v>
      </c>
      <c r="AP80" s="13" t="str">
        <f t="shared" si="32"/>
        <v>rokwzgl=37 i lp=91000</v>
      </c>
      <c r="AQ80" s="13" t="str">
        <f t="shared" si="32"/>
        <v>rokwzgl=38 i lp=91000</v>
      </c>
      <c r="AR80" s="13" t="str">
        <f t="shared" si="32"/>
        <v>rokwzgl=39 i lp=91000</v>
      </c>
    </row>
    <row r="81" spans="1:44">
      <c r="A81" s="29">
        <v>91100</v>
      </c>
      <c r="B81" s="12" t="s">
        <v>211</v>
      </c>
      <c r="C81" s="13" t="s">
        <v>163</v>
      </c>
      <c r="D81" s="13" t="str">
        <f t="shared" si="27"/>
        <v>rokwzgl=0 i lp=91100</v>
      </c>
      <c r="E81" s="13" t="str">
        <f t="shared" si="27"/>
        <v>rokwzgl=0 i lp=91100</v>
      </c>
      <c r="F81" s="13" t="str">
        <f t="shared" si="27"/>
        <v>rokwzgl=1 i lp=91100</v>
      </c>
      <c r="G81" s="13" t="str">
        <f t="shared" si="27"/>
        <v>rokwzgl=2 i lp=91100</v>
      </c>
      <c r="H81" s="13" t="str">
        <f t="shared" si="27"/>
        <v>rokwzgl=3 i lp=91100</v>
      </c>
      <c r="I81" s="13" t="str">
        <f t="shared" si="27"/>
        <v>rokwzgl=4 i lp=91100</v>
      </c>
      <c r="J81" s="13" t="str">
        <f t="shared" si="27"/>
        <v>rokwzgl=5 i lp=91100</v>
      </c>
      <c r="K81" s="13" t="str">
        <f t="shared" si="27"/>
        <v>rokwzgl=6 i lp=91100</v>
      </c>
      <c r="L81" s="13" t="str">
        <f t="shared" si="27"/>
        <v>rokwzgl=7 i lp=91100</v>
      </c>
      <c r="M81" s="13" t="str">
        <f t="shared" si="27"/>
        <v>rokwzgl=8 i lp=91100</v>
      </c>
      <c r="N81" s="13" t="str">
        <f t="shared" si="31"/>
        <v>rokwzgl=9 i lp=91100</v>
      </c>
      <c r="O81" s="13" t="str">
        <f t="shared" si="31"/>
        <v>rokwzgl=10 i lp=91100</v>
      </c>
      <c r="P81" s="13" t="str">
        <f t="shared" si="31"/>
        <v>rokwzgl=11 i lp=91100</v>
      </c>
      <c r="Q81" s="13" t="str">
        <f t="shared" si="31"/>
        <v>rokwzgl=12 i lp=91100</v>
      </c>
      <c r="R81" s="13" t="str">
        <f t="shared" si="31"/>
        <v>rokwzgl=13 i lp=91100</v>
      </c>
      <c r="S81" s="13" t="str">
        <f t="shared" si="31"/>
        <v>rokwzgl=14 i lp=91100</v>
      </c>
      <c r="T81" s="13" t="str">
        <f t="shared" si="31"/>
        <v>rokwzgl=15 i lp=91100</v>
      </c>
      <c r="U81" s="13" t="str">
        <f t="shared" si="31"/>
        <v>rokwzgl=16 i lp=91100</v>
      </c>
      <c r="V81" s="13" t="str">
        <f t="shared" si="31"/>
        <v>rokwzgl=17 i lp=91100</v>
      </c>
      <c r="W81" s="13" t="str">
        <f t="shared" si="31"/>
        <v>rokwzgl=18 i lp=91100</v>
      </c>
      <c r="X81" s="13" t="str">
        <f t="shared" si="25"/>
        <v>rokwzgl=19 i lp=91100</v>
      </c>
      <c r="Y81" s="13" t="str">
        <f t="shared" si="25"/>
        <v>rokwzgl=20 i lp=91100</v>
      </c>
      <c r="Z81" s="13" t="str">
        <f t="shared" si="25"/>
        <v>rokwzgl=21 i lp=91100</v>
      </c>
      <c r="AA81" s="13" t="str">
        <f t="shared" si="25"/>
        <v>rokwzgl=22 i lp=91100</v>
      </c>
      <c r="AB81" s="13" t="str">
        <f t="shared" si="25"/>
        <v>rokwzgl=23 i lp=91100</v>
      </c>
      <c r="AC81" s="13" t="str">
        <f t="shared" si="25"/>
        <v>rokwzgl=24 i lp=91100</v>
      </c>
      <c r="AD81" s="13" t="str">
        <f t="shared" si="25"/>
        <v>rokwzgl=25 i lp=91100</v>
      </c>
      <c r="AE81" s="13" t="str">
        <f t="shared" si="25"/>
        <v>rokwzgl=26 i lp=91100</v>
      </c>
      <c r="AF81" s="13" t="str">
        <f t="shared" si="25"/>
        <v>rokwzgl=27 i lp=91100</v>
      </c>
      <c r="AG81" s="13" t="str">
        <f t="shared" si="25"/>
        <v>rokwzgl=28 i lp=91100</v>
      </c>
      <c r="AH81" s="13" t="str">
        <f t="shared" si="25"/>
        <v>rokwzgl=29 i lp=91100</v>
      </c>
      <c r="AI81" s="13" t="str">
        <f t="shared" si="25"/>
        <v>rokwzgl=30 i lp=91100</v>
      </c>
      <c r="AJ81" s="13" t="str">
        <f t="shared" ref="AJ81:AM100" si="33">+"rokwzgl="&amp;AJ$9&amp;" i lp="&amp;$A81</f>
        <v>rokwzgl=31 i lp=91100</v>
      </c>
      <c r="AK81" s="13" t="str">
        <f t="shared" si="33"/>
        <v>rokwzgl=32 i lp=91100</v>
      </c>
      <c r="AL81" s="13" t="str">
        <f t="shared" si="33"/>
        <v>rokwzgl=33 i lp=91100</v>
      </c>
      <c r="AM81" s="13" t="str">
        <f t="shared" si="33"/>
        <v>rokwzgl=34 i lp=91100</v>
      </c>
      <c r="AN81" s="13" t="str">
        <f t="shared" si="32"/>
        <v>rokwzgl=35 i lp=91100</v>
      </c>
      <c r="AO81" s="13" t="str">
        <f t="shared" si="32"/>
        <v>rokwzgl=36 i lp=91100</v>
      </c>
      <c r="AP81" s="13" t="str">
        <f t="shared" si="32"/>
        <v>rokwzgl=37 i lp=91100</v>
      </c>
      <c r="AQ81" s="13" t="str">
        <f t="shared" si="32"/>
        <v>rokwzgl=38 i lp=91100</v>
      </c>
      <c r="AR81" s="13" t="str">
        <f t="shared" si="32"/>
        <v>rokwzgl=39 i lp=91100</v>
      </c>
    </row>
    <row r="82" spans="1:44">
      <c r="A82" s="29">
        <v>91110</v>
      </c>
      <c r="B82" s="12" t="s">
        <v>212</v>
      </c>
      <c r="C82" s="13" t="s">
        <v>164</v>
      </c>
      <c r="D82" s="13" t="str">
        <f t="shared" si="27"/>
        <v>rokwzgl=0 i lp=91110</v>
      </c>
      <c r="E82" s="13" t="str">
        <f t="shared" si="27"/>
        <v>rokwzgl=0 i lp=91110</v>
      </c>
      <c r="F82" s="13" t="str">
        <f t="shared" si="27"/>
        <v>rokwzgl=1 i lp=91110</v>
      </c>
      <c r="G82" s="13" t="str">
        <f t="shared" si="27"/>
        <v>rokwzgl=2 i lp=91110</v>
      </c>
      <c r="H82" s="13" t="str">
        <f t="shared" si="27"/>
        <v>rokwzgl=3 i lp=91110</v>
      </c>
      <c r="I82" s="13" t="str">
        <f t="shared" si="27"/>
        <v>rokwzgl=4 i lp=91110</v>
      </c>
      <c r="J82" s="13" t="str">
        <f t="shared" si="27"/>
        <v>rokwzgl=5 i lp=91110</v>
      </c>
      <c r="K82" s="13" t="str">
        <f t="shared" si="27"/>
        <v>rokwzgl=6 i lp=91110</v>
      </c>
      <c r="L82" s="13" t="str">
        <f t="shared" si="27"/>
        <v>rokwzgl=7 i lp=91110</v>
      </c>
      <c r="M82" s="13" t="str">
        <f t="shared" si="27"/>
        <v>rokwzgl=8 i lp=91110</v>
      </c>
      <c r="N82" s="13" t="str">
        <f t="shared" si="31"/>
        <v>rokwzgl=9 i lp=91110</v>
      </c>
      <c r="O82" s="13" t="str">
        <f t="shared" si="31"/>
        <v>rokwzgl=10 i lp=91110</v>
      </c>
      <c r="P82" s="13" t="str">
        <f t="shared" si="31"/>
        <v>rokwzgl=11 i lp=91110</v>
      </c>
      <c r="Q82" s="13" t="str">
        <f t="shared" si="31"/>
        <v>rokwzgl=12 i lp=91110</v>
      </c>
      <c r="R82" s="13" t="str">
        <f t="shared" si="31"/>
        <v>rokwzgl=13 i lp=91110</v>
      </c>
      <c r="S82" s="13" t="str">
        <f t="shared" si="31"/>
        <v>rokwzgl=14 i lp=91110</v>
      </c>
      <c r="T82" s="13" t="str">
        <f t="shared" si="31"/>
        <v>rokwzgl=15 i lp=91110</v>
      </c>
      <c r="U82" s="13" t="str">
        <f t="shared" si="31"/>
        <v>rokwzgl=16 i lp=91110</v>
      </c>
      <c r="V82" s="13" t="str">
        <f t="shared" si="31"/>
        <v>rokwzgl=17 i lp=91110</v>
      </c>
      <c r="W82" s="13" t="str">
        <f t="shared" si="31"/>
        <v>rokwzgl=18 i lp=91110</v>
      </c>
      <c r="X82" s="13" t="str">
        <f t="shared" ref="X82:AI91" si="34">+"rokwzgl="&amp;X$9&amp;" i lp="&amp;$A82</f>
        <v>rokwzgl=19 i lp=91110</v>
      </c>
      <c r="Y82" s="13" t="str">
        <f t="shared" si="34"/>
        <v>rokwzgl=20 i lp=91110</v>
      </c>
      <c r="Z82" s="13" t="str">
        <f t="shared" si="34"/>
        <v>rokwzgl=21 i lp=91110</v>
      </c>
      <c r="AA82" s="13" t="str">
        <f t="shared" si="34"/>
        <v>rokwzgl=22 i lp=91110</v>
      </c>
      <c r="AB82" s="13" t="str">
        <f t="shared" si="34"/>
        <v>rokwzgl=23 i lp=91110</v>
      </c>
      <c r="AC82" s="13" t="str">
        <f t="shared" si="34"/>
        <v>rokwzgl=24 i lp=91110</v>
      </c>
      <c r="AD82" s="13" t="str">
        <f t="shared" si="34"/>
        <v>rokwzgl=25 i lp=91110</v>
      </c>
      <c r="AE82" s="13" t="str">
        <f t="shared" si="34"/>
        <v>rokwzgl=26 i lp=91110</v>
      </c>
      <c r="AF82" s="13" t="str">
        <f t="shared" si="34"/>
        <v>rokwzgl=27 i lp=91110</v>
      </c>
      <c r="AG82" s="13" t="str">
        <f t="shared" si="34"/>
        <v>rokwzgl=28 i lp=91110</v>
      </c>
      <c r="AH82" s="13" t="str">
        <f t="shared" si="34"/>
        <v>rokwzgl=29 i lp=91110</v>
      </c>
      <c r="AI82" s="13" t="str">
        <f t="shared" si="34"/>
        <v>rokwzgl=30 i lp=91110</v>
      </c>
      <c r="AJ82" s="13" t="str">
        <f t="shared" si="33"/>
        <v>rokwzgl=31 i lp=91110</v>
      </c>
      <c r="AK82" s="13" t="str">
        <f t="shared" si="33"/>
        <v>rokwzgl=32 i lp=91110</v>
      </c>
      <c r="AL82" s="13" t="str">
        <f t="shared" si="33"/>
        <v>rokwzgl=33 i lp=91110</v>
      </c>
      <c r="AM82" s="13" t="str">
        <f t="shared" si="33"/>
        <v>rokwzgl=34 i lp=91110</v>
      </c>
      <c r="AN82" s="13" t="str">
        <f t="shared" si="32"/>
        <v>rokwzgl=35 i lp=91110</v>
      </c>
      <c r="AO82" s="13" t="str">
        <f t="shared" si="32"/>
        <v>rokwzgl=36 i lp=91110</v>
      </c>
      <c r="AP82" s="13" t="str">
        <f t="shared" si="32"/>
        <v>rokwzgl=37 i lp=91110</v>
      </c>
      <c r="AQ82" s="13" t="str">
        <f t="shared" si="32"/>
        <v>rokwzgl=38 i lp=91110</v>
      </c>
      <c r="AR82" s="13" t="str">
        <f t="shared" si="32"/>
        <v>rokwzgl=39 i lp=91110</v>
      </c>
    </row>
    <row r="83" spans="1:44">
      <c r="A83" s="29">
        <v>92000</v>
      </c>
      <c r="B83" s="12" t="s">
        <v>62</v>
      </c>
      <c r="C83" s="13" t="s">
        <v>165</v>
      </c>
      <c r="D83" s="13" t="str">
        <f t="shared" si="27"/>
        <v>rokwzgl=0 i lp=92000</v>
      </c>
      <c r="E83" s="13" t="str">
        <f t="shared" si="27"/>
        <v>rokwzgl=0 i lp=92000</v>
      </c>
      <c r="F83" s="13" t="str">
        <f t="shared" si="27"/>
        <v>rokwzgl=1 i lp=92000</v>
      </c>
      <c r="G83" s="13" t="str">
        <f t="shared" si="27"/>
        <v>rokwzgl=2 i lp=92000</v>
      </c>
      <c r="H83" s="13" t="str">
        <f t="shared" si="27"/>
        <v>rokwzgl=3 i lp=92000</v>
      </c>
      <c r="I83" s="13" t="str">
        <f t="shared" si="27"/>
        <v>rokwzgl=4 i lp=92000</v>
      </c>
      <c r="J83" s="13" t="str">
        <f t="shared" si="27"/>
        <v>rokwzgl=5 i lp=92000</v>
      </c>
      <c r="K83" s="13" t="str">
        <f t="shared" si="27"/>
        <v>rokwzgl=6 i lp=92000</v>
      </c>
      <c r="L83" s="13" t="str">
        <f t="shared" si="27"/>
        <v>rokwzgl=7 i lp=92000</v>
      </c>
      <c r="M83" s="13" t="str">
        <f t="shared" si="27"/>
        <v>rokwzgl=8 i lp=92000</v>
      </c>
      <c r="N83" s="13" t="str">
        <f t="shared" si="31"/>
        <v>rokwzgl=9 i lp=92000</v>
      </c>
      <c r="O83" s="13" t="str">
        <f t="shared" si="31"/>
        <v>rokwzgl=10 i lp=92000</v>
      </c>
      <c r="P83" s="13" t="str">
        <f t="shared" si="31"/>
        <v>rokwzgl=11 i lp=92000</v>
      </c>
      <c r="Q83" s="13" t="str">
        <f t="shared" si="31"/>
        <v>rokwzgl=12 i lp=92000</v>
      </c>
      <c r="R83" s="13" t="str">
        <f t="shared" si="31"/>
        <v>rokwzgl=13 i lp=92000</v>
      </c>
      <c r="S83" s="13" t="str">
        <f t="shared" si="31"/>
        <v>rokwzgl=14 i lp=92000</v>
      </c>
      <c r="T83" s="13" t="str">
        <f t="shared" si="31"/>
        <v>rokwzgl=15 i lp=92000</v>
      </c>
      <c r="U83" s="13" t="str">
        <f t="shared" si="31"/>
        <v>rokwzgl=16 i lp=92000</v>
      </c>
      <c r="V83" s="13" t="str">
        <f t="shared" si="31"/>
        <v>rokwzgl=17 i lp=92000</v>
      </c>
      <c r="W83" s="13" t="str">
        <f t="shared" si="31"/>
        <v>rokwzgl=18 i lp=92000</v>
      </c>
      <c r="X83" s="13" t="str">
        <f t="shared" si="34"/>
        <v>rokwzgl=19 i lp=92000</v>
      </c>
      <c r="Y83" s="13" t="str">
        <f t="shared" si="34"/>
        <v>rokwzgl=20 i lp=92000</v>
      </c>
      <c r="Z83" s="13" t="str">
        <f t="shared" si="34"/>
        <v>rokwzgl=21 i lp=92000</v>
      </c>
      <c r="AA83" s="13" t="str">
        <f t="shared" si="34"/>
        <v>rokwzgl=22 i lp=92000</v>
      </c>
      <c r="AB83" s="13" t="str">
        <f t="shared" si="34"/>
        <v>rokwzgl=23 i lp=92000</v>
      </c>
      <c r="AC83" s="13" t="str">
        <f t="shared" si="34"/>
        <v>rokwzgl=24 i lp=92000</v>
      </c>
      <c r="AD83" s="13" t="str">
        <f t="shared" si="34"/>
        <v>rokwzgl=25 i lp=92000</v>
      </c>
      <c r="AE83" s="13" t="str">
        <f t="shared" si="34"/>
        <v>rokwzgl=26 i lp=92000</v>
      </c>
      <c r="AF83" s="13" t="str">
        <f t="shared" si="34"/>
        <v>rokwzgl=27 i lp=92000</v>
      </c>
      <c r="AG83" s="13" t="str">
        <f t="shared" si="34"/>
        <v>rokwzgl=28 i lp=92000</v>
      </c>
      <c r="AH83" s="13" t="str">
        <f t="shared" si="34"/>
        <v>rokwzgl=29 i lp=92000</v>
      </c>
      <c r="AI83" s="13" t="str">
        <f t="shared" si="34"/>
        <v>rokwzgl=30 i lp=92000</v>
      </c>
      <c r="AJ83" s="13" t="str">
        <f t="shared" si="33"/>
        <v>rokwzgl=31 i lp=92000</v>
      </c>
      <c r="AK83" s="13" t="str">
        <f t="shared" si="33"/>
        <v>rokwzgl=32 i lp=92000</v>
      </c>
      <c r="AL83" s="13" t="str">
        <f t="shared" si="33"/>
        <v>rokwzgl=33 i lp=92000</v>
      </c>
      <c r="AM83" s="13" t="str">
        <f t="shared" si="33"/>
        <v>rokwzgl=34 i lp=92000</v>
      </c>
      <c r="AN83" s="13" t="str">
        <f t="shared" si="32"/>
        <v>rokwzgl=35 i lp=92000</v>
      </c>
      <c r="AO83" s="13" t="str">
        <f t="shared" si="32"/>
        <v>rokwzgl=36 i lp=92000</v>
      </c>
      <c r="AP83" s="13" t="str">
        <f t="shared" si="32"/>
        <v>rokwzgl=37 i lp=92000</v>
      </c>
      <c r="AQ83" s="13" t="str">
        <f t="shared" si="32"/>
        <v>rokwzgl=38 i lp=92000</v>
      </c>
      <c r="AR83" s="13" t="str">
        <f t="shared" si="32"/>
        <v>rokwzgl=39 i lp=92000</v>
      </c>
    </row>
    <row r="84" spans="1:44">
      <c r="A84" s="29">
        <v>92100</v>
      </c>
      <c r="B84" s="12" t="s">
        <v>213</v>
      </c>
      <c r="C84" s="13" t="s">
        <v>166</v>
      </c>
      <c r="D84" s="13" t="str">
        <f t="shared" si="27"/>
        <v>rokwzgl=0 i lp=92100</v>
      </c>
      <c r="E84" s="13" t="str">
        <f t="shared" si="27"/>
        <v>rokwzgl=0 i lp=92100</v>
      </c>
      <c r="F84" s="13" t="str">
        <f t="shared" si="27"/>
        <v>rokwzgl=1 i lp=92100</v>
      </c>
      <c r="G84" s="13" t="str">
        <f t="shared" si="27"/>
        <v>rokwzgl=2 i lp=92100</v>
      </c>
      <c r="H84" s="13" t="str">
        <f t="shared" si="27"/>
        <v>rokwzgl=3 i lp=92100</v>
      </c>
      <c r="I84" s="13" t="str">
        <f t="shared" si="27"/>
        <v>rokwzgl=4 i lp=92100</v>
      </c>
      <c r="J84" s="13" t="str">
        <f t="shared" si="27"/>
        <v>rokwzgl=5 i lp=92100</v>
      </c>
      <c r="K84" s="13" t="str">
        <f t="shared" si="27"/>
        <v>rokwzgl=6 i lp=92100</v>
      </c>
      <c r="L84" s="13" t="str">
        <f t="shared" si="27"/>
        <v>rokwzgl=7 i lp=92100</v>
      </c>
      <c r="M84" s="13" t="str">
        <f t="shared" si="27"/>
        <v>rokwzgl=8 i lp=92100</v>
      </c>
      <c r="N84" s="13" t="str">
        <f t="shared" si="31"/>
        <v>rokwzgl=9 i lp=92100</v>
      </c>
      <c r="O84" s="13" t="str">
        <f t="shared" si="31"/>
        <v>rokwzgl=10 i lp=92100</v>
      </c>
      <c r="P84" s="13" t="str">
        <f t="shared" si="31"/>
        <v>rokwzgl=11 i lp=92100</v>
      </c>
      <c r="Q84" s="13" t="str">
        <f t="shared" si="31"/>
        <v>rokwzgl=12 i lp=92100</v>
      </c>
      <c r="R84" s="13" t="str">
        <f t="shared" si="31"/>
        <v>rokwzgl=13 i lp=92100</v>
      </c>
      <c r="S84" s="13" t="str">
        <f t="shared" si="31"/>
        <v>rokwzgl=14 i lp=92100</v>
      </c>
      <c r="T84" s="13" t="str">
        <f t="shared" si="31"/>
        <v>rokwzgl=15 i lp=92100</v>
      </c>
      <c r="U84" s="13" t="str">
        <f t="shared" si="31"/>
        <v>rokwzgl=16 i lp=92100</v>
      </c>
      <c r="V84" s="13" t="str">
        <f t="shared" si="31"/>
        <v>rokwzgl=17 i lp=92100</v>
      </c>
      <c r="W84" s="13" t="str">
        <f t="shared" si="31"/>
        <v>rokwzgl=18 i lp=92100</v>
      </c>
      <c r="X84" s="13" t="str">
        <f t="shared" si="34"/>
        <v>rokwzgl=19 i lp=92100</v>
      </c>
      <c r="Y84" s="13" t="str">
        <f t="shared" si="34"/>
        <v>rokwzgl=20 i lp=92100</v>
      </c>
      <c r="Z84" s="13" t="str">
        <f t="shared" si="34"/>
        <v>rokwzgl=21 i lp=92100</v>
      </c>
      <c r="AA84" s="13" t="str">
        <f t="shared" si="34"/>
        <v>rokwzgl=22 i lp=92100</v>
      </c>
      <c r="AB84" s="13" t="str">
        <f t="shared" si="34"/>
        <v>rokwzgl=23 i lp=92100</v>
      </c>
      <c r="AC84" s="13" t="str">
        <f t="shared" si="34"/>
        <v>rokwzgl=24 i lp=92100</v>
      </c>
      <c r="AD84" s="13" t="str">
        <f t="shared" si="34"/>
        <v>rokwzgl=25 i lp=92100</v>
      </c>
      <c r="AE84" s="13" t="str">
        <f t="shared" si="34"/>
        <v>rokwzgl=26 i lp=92100</v>
      </c>
      <c r="AF84" s="13" t="str">
        <f t="shared" si="34"/>
        <v>rokwzgl=27 i lp=92100</v>
      </c>
      <c r="AG84" s="13" t="str">
        <f t="shared" si="34"/>
        <v>rokwzgl=28 i lp=92100</v>
      </c>
      <c r="AH84" s="13" t="str">
        <f t="shared" si="34"/>
        <v>rokwzgl=29 i lp=92100</v>
      </c>
      <c r="AI84" s="13" t="str">
        <f t="shared" si="34"/>
        <v>rokwzgl=30 i lp=92100</v>
      </c>
      <c r="AJ84" s="13" t="str">
        <f t="shared" si="33"/>
        <v>rokwzgl=31 i lp=92100</v>
      </c>
      <c r="AK84" s="13" t="str">
        <f t="shared" si="33"/>
        <v>rokwzgl=32 i lp=92100</v>
      </c>
      <c r="AL84" s="13" t="str">
        <f t="shared" si="33"/>
        <v>rokwzgl=33 i lp=92100</v>
      </c>
      <c r="AM84" s="13" t="str">
        <f t="shared" si="33"/>
        <v>rokwzgl=34 i lp=92100</v>
      </c>
      <c r="AN84" s="13" t="str">
        <f t="shared" si="32"/>
        <v>rokwzgl=35 i lp=92100</v>
      </c>
      <c r="AO84" s="13" t="str">
        <f t="shared" si="32"/>
        <v>rokwzgl=36 i lp=92100</v>
      </c>
      <c r="AP84" s="13" t="str">
        <f t="shared" si="32"/>
        <v>rokwzgl=37 i lp=92100</v>
      </c>
      <c r="AQ84" s="13" t="str">
        <f t="shared" si="32"/>
        <v>rokwzgl=38 i lp=92100</v>
      </c>
      <c r="AR84" s="13" t="str">
        <f t="shared" si="32"/>
        <v>rokwzgl=39 i lp=92100</v>
      </c>
    </row>
    <row r="85" spans="1:44">
      <c r="A85" s="29">
        <v>92110</v>
      </c>
      <c r="B85" s="12" t="s">
        <v>214</v>
      </c>
      <c r="C85" s="13" t="s">
        <v>164</v>
      </c>
      <c r="D85" s="13" t="str">
        <f t="shared" si="27"/>
        <v>rokwzgl=0 i lp=92110</v>
      </c>
      <c r="E85" s="13" t="str">
        <f t="shared" si="27"/>
        <v>rokwzgl=0 i lp=92110</v>
      </c>
      <c r="F85" s="13" t="str">
        <f t="shared" si="27"/>
        <v>rokwzgl=1 i lp=92110</v>
      </c>
      <c r="G85" s="13" t="str">
        <f t="shared" si="27"/>
        <v>rokwzgl=2 i lp=92110</v>
      </c>
      <c r="H85" s="13" t="str">
        <f t="shared" si="27"/>
        <v>rokwzgl=3 i lp=92110</v>
      </c>
      <c r="I85" s="13" t="str">
        <f t="shared" si="27"/>
        <v>rokwzgl=4 i lp=92110</v>
      </c>
      <c r="J85" s="13" t="str">
        <f t="shared" si="27"/>
        <v>rokwzgl=5 i lp=92110</v>
      </c>
      <c r="K85" s="13" t="str">
        <f t="shared" si="27"/>
        <v>rokwzgl=6 i lp=92110</v>
      </c>
      <c r="L85" s="13" t="str">
        <f t="shared" si="27"/>
        <v>rokwzgl=7 i lp=92110</v>
      </c>
      <c r="M85" s="13" t="str">
        <f t="shared" si="27"/>
        <v>rokwzgl=8 i lp=92110</v>
      </c>
      <c r="N85" s="13" t="str">
        <f t="shared" si="31"/>
        <v>rokwzgl=9 i lp=92110</v>
      </c>
      <c r="O85" s="13" t="str">
        <f t="shared" si="31"/>
        <v>rokwzgl=10 i lp=92110</v>
      </c>
      <c r="P85" s="13" t="str">
        <f t="shared" si="31"/>
        <v>rokwzgl=11 i lp=92110</v>
      </c>
      <c r="Q85" s="13" t="str">
        <f t="shared" si="31"/>
        <v>rokwzgl=12 i lp=92110</v>
      </c>
      <c r="R85" s="13" t="str">
        <f t="shared" si="31"/>
        <v>rokwzgl=13 i lp=92110</v>
      </c>
      <c r="S85" s="13" t="str">
        <f t="shared" si="31"/>
        <v>rokwzgl=14 i lp=92110</v>
      </c>
      <c r="T85" s="13" t="str">
        <f t="shared" si="31"/>
        <v>rokwzgl=15 i lp=92110</v>
      </c>
      <c r="U85" s="13" t="str">
        <f t="shared" si="31"/>
        <v>rokwzgl=16 i lp=92110</v>
      </c>
      <c r="V85" s="13" t="str">
        <f t="shared" si="31"/>
        <v>rokwzgl=17 i lp=92110</v>
      </c>
      <c r="W85" s="13" t="str">
        <f t="shared" si="31"/>
        <v>rokwzgl=18 i lp=92110</v>
      </c>
      <c r="X85" s="13" t="str">
        <f t="shared" si="34"/>
        <v>rokwzgl=19 i lp=92110</v>
      </c>
      <c r="Y85" s="13" t="str">
        <f t="shared" si="34"/>
        <v>rokwzgl=20 i lp=92110</v>
      </c>
      <c r="Z85" s="13" t="str">
        <f t="shared" si="34"/>
        <v>rokwzgl=21 i lp=92110</v>
      </c>
      <c r="AA85" s="13" t="str">
        <f t="shared" si="34"/>
        <v>rokwzgl=22 i lp=92110</v>
      </c>
      <c r="AB85" s="13" t="str">
        <f t="shared" si="34"/>
        <v>rokwzgl=23 i lp=92110</v>
      </c>
      <c r="AC85" s="13" t="str">
        <f t="shared" si="34"/>
        <v>rokwzgl=24 i lp=92110</v>
      </c>
      <c r="AD85" s="13" t="str">
        <f t="shared" si="34"/>
        <v>rokwzgl=25 i lp=92110</v>
      </c>
      <c r="AE85" s="13" t="str">
        <f t="shared" si="34"/>
        <v>rokwzgl=26 i lp=92110</v>
      </c>
      <c r="AF85" s="13" t="str">
        <f t="shared" si="34"/>
        <v>rokwzgl=27 i lp=92110</v>
      </c>
      <c r="AG85" s="13" t="str">
        <f t="shared" si="34"/>
        <v>rokwzgl=28 i lp=92110</v>
      </c>
      <c r="AH85" s="13" t="str">
        <f t="shared" si="34"/>
        <v>rokwzgl=29 i lp=92110</v>
      </c>
      <c r="AI85" s="13" t="str">
        <f t="shared" si="34"/>
        <v>rokwzgl=30 i lp=92110</v>
      </c>
      <c r="AJ85" s="13" t="str">
        <f t="shared" si="33"/>
        <v>rokwzgl=31 i lp=92110</v>
      </c>
      <c r="AK85" s="13" t="str">
        <f t="shared" si="33"/>
        <v>rokwzgl=32 i lp=92110</v>
      </c>
      <c r="AL85" s="13" t="str">
        <f t="shared" si="33"/>
        <v>rokwzgl=33 i lp=92110</v>
      </c>
      <c r="AM85" s="13" t="str">
        <f t="shared" si="33"/>
        <v>rokwzgl=34 i lp=92110</v>
      </c>
      <c r="AN85" s="13" t="str">
        <f t="shared" si="32"/>
        <v>rokwzgl=35 i lp=92110</v>
      </c>
      <c r="AO85" s="13" t="str">
        <f t="shared" si="32"/>
        <v>rokwzgl=36 i lp=92110</v>
      </c>
      <c r="AP85" s="13" t="str">
        <f t="shared" si="32"/>
        <v>rokwzgl=37 i lp=92110</v>
      </c>
      <c r="AQ85" s="13" t="str">
        <f t="shared" si="32"/>
        <v>rokwzgl=38 i lp=92110</v>
      </c>
      <c r="AR85" s="13" t="str">
        <f t="shared" si="32"/>
        <v>rokwzgl=39 i lp=92110</v>
      </c>
    </row>
    <row r="86" spans="1:44">
      <c r="A86" s="29">
        <v>93000</v>
      </c>
      <c r="B86" s="12" t="s">
        <v>63</v>
      </c>
      <c r="C86" s="13" t="s">
        <v>167</v>
      </c>
      <c r="D86" s="13" t="str">
        <f t="shared" si="27"/>
        <v>rokwzgl=0 i lp=93000</v>
      </c>
      <c r="E86" s="13" t="str">
        <f t="shared" si="27"/>
        <v>rokwzgl=0 i lp=93000</v>
      </c>
      <c r="F86" s="13" t="str">
        <f t="shared" si="27"/>
        <v>rokwzgl=1 i lp=93000</v>
      </c>
      <c r="G86" s="13" t="str">
        <f t="shared" si="27"/>
        <v>rokwzgl=2 i lp=93000</v>
      </c>
      <c r="H86" s="13" t="str">
        <f t="shared" si="27"/>
        <v>rokwzgl=3 i lp=93000</v>
      </c>
      <c r="I86" s="13" t="str">
        <f t="shared" si="27"/>
        <v>rokwzgl=4 i lp=93000</v>
      </c>
      <c r="J86" s="13" t="str">
        <f t="shared" si="27"/>
        <v>rokwzgl=5 i lp=93000</v>
      </c>
      <c r="K86" s="13" t="str">
        <f t="shared" si="27"/>
        <v>rokwzgl=6 i lp=93000</v>
      </c>
      <c r="L86" s="13" t="str">
        <f t="shared" si="27"/>
        <v>rokwzgl=7 i lp=93000</v>
      </c>
      <c r="M86" s="13" t="str">
        <f t="shared" si="27"/>
        <v>rokwzgl=8 i lp=93000</v>
      </c>
      <c r="N86" s="13" t="str">
        <f t="shared" si="31"/>
        <v>rokwzgl=9 i lp=93000</v>
      </c>
      <c r="O86" s="13" t="str">
        <f t="shared" si="31"/>
        <v>rokwzgl=10 i lp=93000</v>
      </c>
      <c r="P86" s="13" t="str">
        <f t="shared" si="31"/>
        <v>rokwzgl=11 i lp=93000</v>
      </c>
      <c r="Q86" s="13" t="str">
        <f t="shared" si="31"/>
        <v>rokwzgl=12 i lp=93000</v>
      </c>
      <c r="R86" s="13" t="str">
        <f t="shared" si="31"/>
        <v>rokwzgl=13 i lp=93000</v>
      </c>
      <c r="S86" s="13" t="str">
        <f t="shared" si="31"/>
        <v>rokwzgl=14 i lp=93000</v>
      </c>
      <c r="T86" s="13" t="str">
        <f t="shared" si="31"/>
        <v>rokwzgl=15 i lp=93000</v>
      </c>
      <c r="U86" s="13" t="str">
        <f t="shared" si="31"/>
        <v>rokwzgl=16 i lp=93000</v>
      </c>
      <c r="V86" s="13" t="str">
        <f t="shared" si="31"/>
        <v>rokwzgl=17 i lp=93000</v>
      </c>
      <c r="W86" s="13" t="str">
        <f t="shared" si="31"/>
        <v>rokwzgl=18 i lp=93000</v>
      </c>
      <c r="X86" s="13" t="str">
        <f t="shared" si="34"/>
        <v>rokwzgl=19 i lp=93000</v>
      </c>
      <c r="Y86" s="13" t="str">
        <f t="shared" si="34"/>
        <v>rokwzgl=20 i lp=93000</v>
      </c>
      <c r="Z86" s="13" t="str">
        <f t="shared" si="34"/>
        <v>rokwzgl=21 i lp=93000</v>
      </c>
      <c r="AA86" s="13" t="str">
        <f t="shared" si="34"/>
        <v>rokwzgl=22 i lp=93000</v>
      </c>
      <c r="AB86" s="13" t="str">
        <f t="shared" si="34"/>
        <v>rokwzgl=23 i lp=93000</v>
      </c>
      <c r="AC86" s="13" t="str">
        <f t="shared" si="34"/>
        <v>rokwzgl=24 i lp=93000</v>
      </c>
      <c r="AD86" s="13" t="str">
        <f t="shared" si="34"/>
        <v>rokwzgl=25 i lp=93000</v>
      </c>
      <c r="AE86" s="13" t="str">
        <f t="shared" si="34"/>
        <v>rokwzgl=26 i lp=93000</v>
      </c>
      <c r="AF86" s="13" t="str">
        <f t="shared" si="34"/>
        <v>rokwzgl=27 i lp=93000</v>
      </c>
      <c r="AG86" s="13" t="str">
        <f t="shared" si="34"/>
        <v>rokwzgl=28 i lp=93000</v>
      </c>
      <c r="AH86" s="13" t="str">
        <f t="shared" si="34"/>
        <v>rokwzgl=29 i lp=93000</v>
      </c>
      <c r="AI86" s="13" t="str">
        <f t="shared" si="34"/>
        <v>rokwzgl=30 i lp=93000</v>
      </c>
      <c r="AJ86" s="13" t="str">
        <f t="shared" si="33"/>
        <v>rokwzgl=31 i lp=93000</v>
      </c>
      <c r="AK86" s="13" t="str">
        <f t="shared" si="33"/>
        <v>rokwzgl=32 i lp=93000</v>
      </c>
      <c r="AL86" s="13" t="str">
        <f t="shared" si="33"/>
        <v>rokwzgl=33 i lp=93000</v>
      </c>
      <c r="AM86" s="13" t="str">
        <f t="shared" si="33"/>
        <v>rokwzgl=34 i lp=93000</v>
      </c>
      <c r="AN86" s="13" t="str">
        <f t="shared" si="32"/>
        <v>rokwzgl=35 i lp=93000</v>
      </c>
      <c r="AO86" s="13" t="str">
        <f t="shared" si="32"/>
        <v>rokwzgl=36 i lp=93000</v>
      </c>
      <c r="AP86" s="13" t="str">
        <f t="shared" si="32"/>
        <v>rokwzgl=37 i lp=93000</v>
      </c>
      <c r="AQ86" s="13" t="str">
        <f t="shared" si="32"/>
        <v>rokwzgl=38 i lp=93000</v>
      </c>
      <c r="AR86" s="13" t="str">
        <f t="shared" si="32"/>
        <v>rokwzgl=39 i lp=93000</v>
      </c>
    </row>
    <row r="87" spans="1:44">
      <c r="A87" s="29">
        <v>93100</v>
      </c>
      <c r="B87" s="12" t="s">
        <v>215</v>
      </c>
      <c r="C87" s="13" t="s">
        <v>168</v>
      </c>
      <c r="D87" s="13" t="str">
        <f t="shared" si="27"/>
        <v>rokwzgl=0 i lp=93100</v>
      </c>
      <c r="E87" s="13" t="str">
        <f t="shared" si="27"/>
        <v>rokwzgl=0 i lp=93100</v>
      </c>
      <c r="F87" s="13" t="str">
        <f t="shared" si="27"/>
        <v>rokwzgl=1 i lp=93100</v>
      </c>
      <c r="G87" s="13" t="str">
        <f t="shared" si="27"/>
        <v>rokwzgl=2 i lp=93100</v>
      </c>
      <c r="H87" s="13" t="str">
        <f t="shared" si="27"/>
        <v>rokwzgl=3 i lp=93100</v>
      </c>
      <c r="I87" s="13" t="str">
        <f t="shared" si="27"/>
        <v>rokwzgl=4 i lp=93100</v>
      </c>
      <c r="J87" s="13" t="str">
        <f t="shared" si="27"/>
        <v>rokwzgl=5 i lp=93100</v>
      </c>
      <c r="K87" s="13" t="str">
        <f t="shared" si="27"/>
        <v>rokwzgl=6 i lp=93100</v>
      </c>
      <c r="L87" s="13" t="str">
        <f t="shared" si="27"/>
        <v>rokwzgl=7 i lp=93100</v>
      </c>
      <c r="M87" s="13" t="str">
        <f t="shared" si="27"/>
        <v>rokwzgl=8 i lp=93100</v>
      </c>
      <c r="N87" s="13" t="str">
        <f t="shared" si="31"/>
        <v>rokwzgl=9 i lp=93100</v>
      </c>
      <c r="O87" s="13" t="str">
        <f t="shared" si="31"/>
        <v>rokwzgl=10 i lp=93100</v>
      </c>
      <c r="P87" s="13" t="str">
        <f t="shared" si="31"/>
        <v>rokwzgl=11 i lp=93100</v>
      </c>
      <c r="Q87" s="13" t="str">
        <f t="shared" si="31"/>
        <v>rokwzgl=12 i lp=93100</v>
      </c>
      <c r="R87" s="13" t="str">
        <f t="shared" si="31"/>
        <v>rokwzgl=13 i lp=93100</v>
      </c>
      <c r="S87" s="13" t="str">
        <f t="shared" si="31"/>
        <v>rokwzgl=14 i lp=93100</v>
      </c>
      <c r="T87" s="13" t="str">
        <f t="shared" si="31"/>
        <v>rokwzgl=15 i lp=93100</v>
      </c>
      <c r="U87" s="13" t="str">
        <f t="shared" si="31"/>
        <v>rokwzgl=16 i lp=93100</v>
      </c>
      <c r="V87" s="13" t="str">
        <f t="shared" si="31"/>
        <v>rokwzgl=17 i lp=93100</v>
      </c>
      <c r="W87" s="13" t="str">
        <f t="shared" si="31"/>
        <v>rokwzgl=18 i lp=93100</v>
      </c>
      <c r="X87" s="13" t="str">
        <f t="shared" si="34"/>
        <v>rokwzgl=19 i lp=93100</v>
      </c>
      <c r="Y87" s="13" t="str">
        <f t="shared" si="34"/>
        <v>rokwzgl=20 i lp=93100</v>
      </c>
      <c r="Z87" s="13" t="str">
        <f t="shared" si="34"/>
        <v>rokwzgl=21 i lp=93100</v>
      </c>
      <c r="AA87" s="13" t="str">
        <f t="shared" si="34"/>
        <v>rokwzgl=22 i lp=93100</v>
      </c>
      <c r="AB87" s="13" t="str">
        <f t="shared" si="34"/>
        <v>rokwzgl=23 i lp=93100</v>
      </c>
      <c r="AC87" s="13" t="str">
        <f t="shared" si="34"/>
        <v>rokwzgl=24 i lp=93100</v>
      </c>
      <c r="AD87" s="13" t="str">
        <f t="shared" si="34"/>
        <v>rokwzgl=25 i lp=93100</v>
      </c>
      <c r="AE87" s="13" t="str">
        <f t="shared" si="34"/>
        <v>rokwzgl=26 i lp=93100</v>
      </c>
      <c r="AF87" s="13" t="str">
        <f t="shared" si="34"/>
        <v>rokwzgl=27 i lp=93100</v>
      </c>
      <c r="AG87" s="13" t="str">
        <f t="shared" si="34"/>
        <v>rokwzgl=28 i lp=93100</v>
      </c>
      <c r="AH87" s="13" t="str">
        <f t="shared" si="34"/>
        <v>rokwzgl=29 i lp=93100</v>
      </c>
      <c r="AI87" s="13" t="str">
        <f t="shared" si="34"/>
        <v>rokwzgl=30 i lp=93100</v>
      </c>
      <c r="AJ87" s="13" t="str">
        <f t="shared" si="33"/>
        <v>rokwzgl=31 i lp=93100</v>
      </c>
      <c r="AK87" s="13" t="str">
        <f t="shared" si="33"/>
        <v>rokwzgl=32 i lp=93100</v>
      </c>
      <c r="AL87" s="13" t="str">
        <f t="shared" si="33"/>
        <v>rokwzgl=33 i lp=93100</v>
      </c>
      <c r="AM87" s="13" t="str">
        <f t="shared" si="33"/>
        <v>rokwzgl=34 i lp=93100</v>
      </c>
      <c r="AN87" s="13" t="str">
        <f t="shared" si="32"/>
        <v>rokwzgl=35 i lp=93100</v>
      </c>
      <c r="AO87" s="13" t="str">
        <f t="shared" si="32"/>
        <v>rokwzgl=36 i lp=93100</v>
      </c>
      <c r="AP87" s="13" t="str">
        <f t="shared" si="32"/>
        <v>rokwzgl=37 i lp=93100</v>
      </c>
      <c r="AQ87" s="13" t="str">
        <f t="shared" si="32"/>
        <v>rokwzgl=38 i lp=93100</v>
      </c>
      <c r="AR87" s="13" t="str">
        <f t="shared" si="32"/>
        <v>rokwzgl=39 i lp=93100</v>
      </c>
    </row>
    <row r="88" spans="1:44">
      <c r="A88" s="29">
        <v>93110</v>
      </c>
      <c r="B88" s="12" t="s">
        <v>216</v>
      </c>
      <c r="C88" s="13" t="s">
        <v>169</v>
      </c>
      <c r="D88" s="13" t="str">
        <f t="shared" si="27"/>
        <v>rokwzgl=0 i lp=93110</v>
      </c>
      <c r="E88" s="13" t="str">
        <f t="shared" si="27"/>
        <v>rokwzgl=0 i lp=93110</v>
      </c>
      <c r="F88" s="13" t="str">
        <f t="shared" si="27"/>
        <v>rokwzgl=1 i lp=93110</v>
      </c>
      <c r="G88" s="13" t="str">
        <f t="shared" si="27"/>
        <v>rokwzgl=2 i lp=93110</v>
      </c>
      <c r="H88" s="13" t="str">
        <f t="shared" si="27"/>
        <v>rokwzgl=3 i lp=93110</v>
      </c>
      <c r="I88" s="13" t="str">
        <f t="shared" si="27"/>
        <v>rokwzgl=4 i lp=93110</v>
      </c>
      <c r="J88" s="13" t="str">
        <f t="shared" si="27"/>
        <v>rokwzgl=5 i lp=93110</v>
      </c>
      <c r="K88" s="13" t="str">
        <f t="shared" si="27"/>
        <v>rokwzgl=6 i lp=93110</v>
      </c>
      <c r="L88" s="13" t="str">
        <f t="shared" si="27"/>
        <v>rokwzgl=7 i lp=93110</v>
      </c>
      <c r="M88" s="13" t="str">
        <f t="shared" si="27"/>
        <v>rokwzgl=8 i lp=93110</v>
      </c>
      <c r="N88" s="13" t="str">
        <f t="shared" si="31"/>
        <v>rokwzgl=9 i lp=93110</v>
      </c>
      <c r="O88" s="13" t="str">
        <f t="shared" si="31"/>
        <v>rokwzgl=10 i lp=93110</v>
      </c>
      <c r="P88" s="13" t="str">
        <f t="shared" si="31"/>
        <v>rokwzgl=11 i lp=93110</v>
      </c>
      <c r="Q88" s="13" t="str">
        <f t="shared" si="31"/>
        <v>rokwzgl=12 i lp=93110</v>
      </c>
      <c r="R88" s="13" t="str">
        <f t="shared" si="31"/>
        <v>rokwzgl=13 i lp=93110</v>
      </c>
      <c r="S88" s="13" t="str">
        <f t="shared" si="31"/>
        <v>rokwzgl=14 i lp=93110</v>
      </c>
      <c r="T88" s="13" t="str">
        <f t="shared" si="31"/>
        <v>rokwzgl=15 i lp=93110</v>
      </c>
      <c r="U88" s="13" t="str">
        <f t="shared" si="31"/>
        <v>rokwzgl=16 i lp=93110</v>
      </c>
      <c r="V88" s="13" t="str">
        <f t="shared" si="31"/>
        <v>rokwzgl=17 i lp=93110</v>
      </c>
      <c r="W88" s="13" t="str">
        <f t="shared" si="31"/>
        <v>rokwzgl=18 i lp=93110</v>
      </c>
      <c r="X88" s="13" t="str">
        <f t="shared" si="34"/>
        <v>rokwzgl=19 i lp=93110</v>
      </c>
      <c r="Y88" s="13" t="str">
        <f t="shared" si="34"/>
        <v>rokwzgl=20 i lp=93110</v>
      </c>
      <c r="Z88" s="13" t="str">
        <f t="shared" si="34"/>
        <v>rokwzgl=21 i lp=93110</v>
      </c>
      <c r="AA88" s="13" t="str">
        <f t="shared" si="34"/>
        <v>rokwzgl=22 i lp=93110</v>
      </c>
      <c r="AB88" s="13" t="str">
        <f t="shared" si="34"/>
        <v>rokwzgl=23 i lp=93110</v>
      </c>
      <c r="AC88" s="13" t="str">
        <f t="shared" si="34"/>
        <v>rokwzgl=24 i lp=93110</v>
      </c>
      <c r="AD88" s="13" t="str">
        <f t="shared" si="34"/>
        <v>rokwzgl=25 i lp=93110</v>
      </c>
      <c r="AE88" s="13" t="str">
        <f t="shared" si="34"/>
        <v>rokwzgl=26 i lp=93110</v>
      </c>
      <c r="AF88" s="13" t="str">
        <f t="shared" si="34"/>
        <v>rokwzgl=27 i lp=93110</v>
      </c>
      <c r="AG88" s="13" t="str">
        <f t="shared" si="34"/>
        <v>rokwzgl=28 i lp=93110</v>
      </c>
      <c r="AH88" s="13" t="str">
        <f t="shared" si="34"/>
        <v>rokwzgl=29 i lp=93110</v>
      </c>
      <c r="AI88" s="13" t="str">
        <f t="shared" si="34"/>
        <v>rokwzgl=30 i lp=93110</v>
      </c>
      <c r="AJ88" s="13" t="str">
        <f t="shared" si="33"/>
        <v>rokwzgl=31 i lp=93110</v>
      </c>
      <c r="AK88" s="13" t="str">
        <f t="shared" si="33"/>
        <v>rokwzgl=32 i lp=93110</v>
      </c>
      <c r="AL88" s="13" t="str">
        <f t="shared" si="33"/>
        <v>rokwzgl=33 i lp=93110</v>
      </c>
      <c r="AM88" s="13" t="str">
        <f t="shared" si="33"/>
        <v>rokwzgl=34 i lp=93110</v>
      </c>
      <c r="AN88" s="13" t="str">
        <f t="shared" si="32"/>
        <v>rokwzgl=35 i lp=93110</v>
      </c>
      <c r="AO88" s="13" t="str">
        <f t="shared" si="32"/>
        <v>rokwzgl=36 i lp=93110</v>
      </c>
      <c r="AP88" s="13" t="str">
        <f t="shared" si="32"/>
        <v>rokwzgl=37 i lp=93110</v>
      </c>
      <c r="AQ88" s="13" t="str">
        <f t="shared" si="32"/>
        <v>rokwzgl=38 i lp=93110</v>
      </c>
      <c r="AR88" s="13" t="str">
        <f t="shared" si="32"/>
        <v>rokwzgl=39 i lp=93110</v>
      </c>
    </row>
    <row r="89" spans="1:44">
      <c r="A89" s="29">
        <v>94000</v>
      </c>
      <c r="B89" s="12" t="s">
        <v>64</v>
      </c>
      <c r="C89" s="13" t="s">
        <v>170</v>
      </c>
      <c r="D89" s="13" t="str">
        <f t="shared" si="27"/>
        <v>rokwzgl=0 i lp=94000</v>
      </c>
      <c r="E89" s="13" t="str">
        <f t="shared" si="27"/>
        <v>rokwzgl=0 i lp=94000</v>
      </c>
      <c r="F89" s="13" t="str">
        <f t="shared" si="27"/>
        <v>rokwzgl=1 i lp=94000</v>
      </c>
      <c r="G89" s="13" t="str">
        <f t="shared" si="27"/>
        <v>rokwzgl=2 i lp=94000</v>
      </c>
      <c r="H89" s="13" t="str">
        <f t="shared" si="27"/>
        <v>rokwzgl=3 i lp=94000</v>
      </c>
      <c r="I89" s="13" t="str">
        <f t="shared" si="27"/>
        <v>rokwzgl=4 i lp=94000</v>
      </c>
      <c r="J89" s="13" t="str">
        <f t="shared" si="27"/>
        <v>rokwzgl=5 i lp=94000</v>
      </c>
      <c r="K89" s="13" t="str">
        <f t="shared" si="27"/>
        <v>rokwzgl=6 i lp=94000</v>
      </c>
      <c r="L89" s="13" t="str">
        <f t="shared" si="27"/>
        <v>rokwzgl=7 i lp=94000</v>
      </c>
      <c r="M89" s="13" t="str">
        <f t="shared" si="27"/>
        <v>rokwzgl=8 i lp=94000</v>
      </c>
      <c r="N89" s="13" t="str">
        <f t="shared" si="31"/>
        <v>rokwzgl=9 i lp=94000</v>
      </c>
      <c r="O89" s="13" t="str">
        <f t="shared" si="31"/>
        <v>rokwzgl=10 i lp=94000</v>
      </c>
      <c r="P89" s="13" t="str">
        <f t="shared" si="31"/>
        <v>rokwzgl=11 i lp=94000</v>
      </c>
      <c r="Q89" s="13" t="str">
        <f t="shared" si="31"/>
        <v>rokwzgl=12 i lp=94000</v>
      </c>
      <c r="R89" s="13" t="str">
        <f t="shared" si="31"/>
        <v>rokwzgl=13 i lp=94000</v>
      </c>
      <c r="S89" s="13" t="str">
        <f t="shared" si="31"/>
        <v>rokwzgl=14 i lp=94000</v>
      </c>
      <c r="T89" s="13" t="str">
        <f t="shared" si="31"/>
        <v>rokwzgl=15 i lp=94000</v>
      </c>
      <c r="U89" s="13" t="str">
        <f t="shared" si="31"/>
        <v>rokwzgl=16 i lp=94000</v>
      </c>
      <c r="V89" s="13" t="str">
        <f t="shared" si="31"/>
        <v>rokwzgl=17 i lp=94000</v>
      </c>
      <c r="W89" s="13" t="str">
        <f t="shared" si="31"/>
        <v>rokwzgl=18 i lp=94000</v>
      </c>
      <c r="X89" s="13" t="str">
        <f t="shared" si="34"/>
        <v>rokwzgl=19 i lp=94000</v>
      </c>
      <c r="Y89" s="13" t="str">
        <f t="shared" si="34"/>
        <v>rokwzgl=20 i lp=94000</v>
      </c>
      <c r="Z89" s="13" t="str">
        <f t="shared" si="34"/>
        <v>rokwzgl=21 i lp=94000</v>
      </c>
      <c r="AA89" s="13" t="str">
        <f t="shared" si="34"/>
        <v>rokwzgl=22 i lp=94000</v>
      </c>
      <c r="AB89" s="13" t="str">
        <f t="shared" si="34"/>
        <v>rokwzgl=23 i lp=94000</v>
      </c>
      <c r="AC89" s="13" t="str">
        <f t="shared" si="34"/>
        <v>rokwzgl=24 i lp=94000</v>
      </c>
      <c r="AD89" s="13" t="str">
        <f t="shared" si="34"/>
        <v>rokwzgl=25 i lp=94000</v>
      </c>
      <c r="AE89" s="13" t="str">
        <f t="shared" si="34"/>
        <v>rokwzgl=26 i lp=94000</v>
      </c>
      <c r="AF89" s="13" t="str">
        <f t="shared" si="34"/>
        <v>rokwzgl=27 i lp=94000</v>
      </c>
      <c r="AG89" s="13" t="str">
        <f t="shared" si="34"/>
        <v>rokwzgl=28 i lp=94000</v>
      </c>
      <c r="AH89" s="13" t="str">
        <f t="shared" si="34"/>
        <v>rokwzgl=29 i lp=94000</v>
      </c>
      <c r="AI89" s="13" t="str">
        <f t="shared" si="34"/>
        <v>rokwzgl=30 i lp=94000</v>
      </c>
      <c r="AJ89" s="13" t="str">
        <f t="shared" si="33"/>
        <v>rokwzgl=31 i lp=94000</v>
      </c>
      <c r="AK89" s="13" t="str">
        <f t="shared" si="33"/>
        <v>rokwzgl=32 i lp=94000</v>
      </c>
      <c r="AL89" s="13" t="str">
        <f t="shared" si="33"/>
        <v>rokwzgl=33 i lp=94000</v>
      </c>
      <c r="AM89" s="13" t="str">
        <f t="shared" si="33"/>
        <v>rokwzgl=34 i lp=94000</v>
      </c>
      <c r="AN89" s="13" t="str">
        <f t="shared" si="32"/>
        <v>rokwzgl=35 i lp=94000</v>
      </c>
      <c r="AO89" s="13" t="str">
        <f t="shared" si="32"/>
        <v>rokwzgl=36 i lp=94000</v>
      </c>
      <c r="AP89" s="13" t="str">
        <f t="shared" si="32"/>
        <v>rokwzgl=37 i lp=94000</v>
      </c>
      <c r="AQ89" s="13" t="str">
        <f t="shared" si="32"/>
        <v>rokwzgl=38 i lp=94000</v>
      </c>
      <c r="AR89" s="13" t="str">
        <f t="shared" si="32"/>
        <v>rokwzgl=39 i lp=94000</v>
      </c>
    </row>
    <row r="90" spans="1:44">
      <c r="A90" s="29">
        <v>94100</v>
      </c>
      <c r="B90" s="12" t="s">
        <v>217</v>
      </c>
      <c r="C90" s="13" t="s">
        <v>171</v>
      </c>
      <c r="D90" s="13" t="str">
        <f t="shared" si="27"/>
        <v>rokwzgl=0 i lp=94100</v>
      </c>
      <c r="E90" s="13" t="str">
        <f t="shared" si="27"/>
        <v>rokwzgl=0 i lp=94100</v>
      </c>
      <c r="F90" s="13" t="str">
        <f t="shared" si="27"/>
        <v>rokwzgl=1 i lp=94100</v>
      </c>
      <c r="G90" s="13" t="str">
        <f t="shared" si="27"/>
        <v>rokwzgl=2 i lp=94100</v>
      </c>
      <c r="H90" s="13" t="str">
        <f t="shared" si="27"/>
        <v>rokwzgl=3 i lp=94100</v>
      </c>
      <c r="I90" s="13" t="str">
        <f t="shared" si="27"/>
        <v>rokwzgl=4 i lp=94100</v>
      </c>
      <c r="J90" s="13" t="str">
        <f t="shared" si="27"/>
        <v>rokwzgl=5 i lp=94100</v>
      </c>
      <c r="K90" s="13" t="str">
        <f t="shared" si="27"/>
        <v>rokwzgl=6 i lp=94100</v>
      </c>
      <c r="L90" s="13" t="str">
        <f t="shared" si="27"/>
        <v>rokwzgl=7 i lp=94100</v>
      </c>
      <c r="M90" s="13" t="str">
        <f t="shared" si="27"/>
        <v>rokwzgl=8 i lp=94100</v>
      </c>
      <c r="N90" s="13" t="str">
        <f t="shared" si="31"/>
        <v>rokwzgl=9 i lp=94100</v>
      </c>
      <c r="O90" s="13" t="str">
        <f t="shared" si="31"/>
        <v>rokwzgl=10 i lp=94100</v>
      </c>
      <c r="P90" s="13" t="str">
        <f t="shared" si="31"/>
        <v>rokwzgl=11 i lp=94100</v>
      </c>
      <c r="Q90" s="13" t="str">
        <f t="shared" si="31"/>
        <v>rokwzgl=12 i lp=94100</v>
      </c>
      <c r="R90" s="13" t="str">
        <f t="shared" si="31"/>
        <v>rokwzgl=13 i lp=94100</v>
      </c>
      <c r="S90" s="13" t="str">
        <f t="shared" si="31"/>
        <v>rokwzgl=14 i lp=94100</v>
      </c>
      <c r="T90" s="13" t="str">
        <f t="shared" si="31"/>
        <v>rokwzgl=15 i lp=94100</v>
      </c>
      <c r="U90" s="13" t="str">
        <f t="shared" si="31"/>
        <v>rokwzgl=16 i lp=94100</v>
      </c>
      <c r="V90" s="13" t="str">
        <f t="shared" si="31"/>
        <v>rokwzgl=17 i lp=94100</v>
      </c>
      <c r="W90" s="13" t="str">
        <f t="shared" si="31"/>
        <v>rokwzgl=18 i lp=94100</v>
      </c>
      <c r="X90" s="13" t="str">
        <f t="shared" si="34"/>
        <v>rokwzgl=19 i lp=94100</v>
      </c>
      <c r="Y90" s="13" t="str">
        <f t="shared" si="34"/>
        <v>rokwzgl=20 i lp=94100</v>
      </c>
      <c r="Z90" s="13" t="str">
        <f t="shared" si="34"/>
        <v>rokwzgl=21 i lp=94100</v>
      </c>
      <c r="AA90" s="13" t="str">
        <f t="shared" si="34"/>
        <v>rokwzgl=22 i lp=94100</v>
      </c>
      <c r="AB90" s="13" t="str">
        <f t="shared" si="34"/>
        <v>rokwzgl=23 i lp=94100</v>
      </c>
      <c r="AC90" s="13" t="str">
        <f t="shared" si="34"/>
        <v>rokwzgl=24 i lp=94100</v>
      </c>
      <c r="AD90" s="13" t="str">
        <f t="shared" si="34"/>
        <v>rokwzgl=25 i lp=94100</v>
      </c>
      <c r="AE90" s="13" t="str">
        <f t="shared" si="34"/>
        <v>rokwzgl=26 i lp=94100</v>
      </c>
      <c r="AF90" s="13" t="str">
        <f t="shared" si="34"/>
        <v>rokwzgl=27 i lp=94100</v>
      </c>
      <c r="AG90" s="13" t="str">
        <f t="shared" si="34"/>
        <v>rokwzgl=28 i lp=94100</v>
      </c>
      <c r="AH90" s="13" t="str">
        <f t="shared" si="34"/>
        <v>rokwzgl=29 i lp=94100</v>
      </c>
      <c r="AI90" s="13" t="str">
        <f t="shared" si="34"/>
        <v>rokwzgl=30 i lp=94100</v>
      </c>
      <c r="AJ90" s="13" t="str">
        <f t="shared" si="33"/>
        <v>rokwzgl=31 i lp=94100</v>
      </c>
      <c r="AK90" s="13" t="str">
        <f t="shared" si="33"/>
        <v>rokwzgl=32 i lp=94100</v>
      </c>
      <c r="AL90" s="13" t="str">
        <f t="shared" si="33"/>
        <v>rokwzgl=33 i lp=94100</v>
      </c>
      <c r="AM90" s="13" t="str">
        <f t="shared" si="33"/>
        <v>rokwzgl=34 i lp=94100</v>
      </c>
      <c r="AN90" s="13" t="str">
        <f t="shared" si="32"/>
        <v>rokwzgl=35 i lp=94100</v>
      </c>
      <c r="AO90" s="13" t="str">
        <f t="shared" si="32"/>
        <v>rokwzgl=36 i lp=94100</v>
      </c>
      <c r="AP90" s="13" t="str">
        <f t="shared" si="32"/>
        <v>rokwzgl=37 i lp=94100</v>
      </c>
      <c r="AQ90" s="13" t="str">
        <f t="shared" si="32"/>
        <v>rokwzgl=38 i lp=94100</v>
      </c>
      <c r="AR90" s="13" t="str">
        <f t="shared" si="32"/>
        <v>rokwzgl=39 i lp=94100</v>
      </c>
    </row>
    <row r="91" spans="1:44">
      <c r="A91" s="29">
        <v>94110</v>
      </c>
      <c r="B91" s="12" t="s">
        <v>218</v>
      </c>
      <c r="C91" s="13" t="s">
        <v>169</v>
      </c>
      <c r="D91" s="13" t="str">
        <f t="shared" si="27"/>
        <v>rokwzgl=0 i lp=94110</v>
      </c>
      <c r="E91" s="13" t="str">
        <f t="shared" si="27"/>
        <v>rokwzgl=0 i lp=94110</v>
      </c>
      <c r="F91" s="13" t="str">
        <f t="shared" si="27"/>
        <v>rokwzgl=1 i lp=94110</v>
      </c>
      <c r="G91" s="13" t="str">
        <f t="shared" si="27"/>
        <v>rokwzgl=2 i lp=94110</v>
      </c>
      <c r="H91" s="13" t="str">
        <f t="shared" si="27"/>
        <v>rokwzgl=3 i lp=94110</v>
      </c>
      <c r="I91" s="13" t="str">
        <f t="shared" si="27"/>
        <v>rokwzgl=4 i lp=94110</v>
      </c>
      <c r="J91" s="13" t="str">
        <f t="shared" si="27"/>
        <v>rokwzgl=5 i lp=94110</v>
      </c>
      <c r="K91" s="13" t="str">
        <f t="shared" si="27"/>
        <v>rokwzgl=6 i lp=94110</v>
      </c>
      <c r="L91" s="13" t="str">
        <f t="shared" si="27"/>
        <v>rokwzgl=7 i lp=94110</v>
      </c>
      <c r="M91" s="13" t="str">
        <f t="shared" si="27"/>
        <v>rokwzgl=8 i lp=94110</v>
      </c>
      <c r="N91" s="13" t="str">
        <f t="shared" si="31"/>
        <v>rokwzgl=9 i lp=94110</v>
      </c>
      <c r="O91" s="13" t="str">
        <f t="shared" si="31"/>
        <v>rokwzgl=10 i lp=94110</v>
      </c>
      <c r="P91" s="13" t="str">
        <f t="shared" si="31"/>
        <v>rokwzgl=11 i lp=94110</v>
      </c>
      <c r="Q91" s="13" t="str">
        <f t="shared" si="31"/>
        <v>rokwzgl=12 i lp=94110</v>
      </c>
      <c r="R91" s="13" t="str">
        <f t="shared" si="31"/>
        <v>rokwzgl=13 i lp=94110</v>
      </c>
      <c r="S91" s="13" t="str">
        <f t="shared" si="31"/>
        <v>rokwzgl=14 i lp=94110</v>
      </c>
      <c r="T91" s="13" t="str">
        <f t="shared" si="31"/>
        <v>rokwzgl=15 i lp=94110</v>
      </c>
      <c r="U91" s="13" t="str">
        <f t="shared" si="31"/>
        <v>rokwzgl=16 i lp=94110</v>
      </c>
      <c r="V91" s="13" t="str">
        <f t="shared" si="31"/>
        <v>rokwzgl=17 i lp=94110</v>
      </c>
      <c r="W91" s="13" t="str">
        <f t="shared" si="31"/>
        <v>rokwzgl=18 i lp=94110</v>
      </c>
      <c r="X91" s="13" t="str">
        <f t="shared" si="34"/>
        <v>rokwzgl=19 i lp=94110</v>
      </c>
      <c r="Y91" s="13" t="str">
        <f t="shared" si="34"/>
        <v>rokwzgl=20 i lp=94110</v>
      </c>
      <c r="Z91" s="13" t="str">
        <f t="shared" si="34"/>
        <v>rokwzgl=21 i lp=94110</v>
      </c>
      <c r="AA91" s="13" t="str">
        <f t="shared" si="34"/>
        <v>rokwzgl=22 i lp=94110</v>
      </c>
      <c r="AB91" s="13" t="str">
        <f t="shared" si="34"/>
        <v>rokwzgl=23 i lp=94110</v>
      </c>
      <c r="AC91" s="13" t="str">
        <f t="shared" si="34"/>
        <v>rokwzgl=24 i lp=94110</v>
      </c>
      <c r="AD91" s="13" t="str">
        <f t="shared" si="34"/>
        <v>rokwzgl=25 i lp=94110</v>
      </c>
      <c r="AE91" s="13" t="str">
        <f t="shared" si="34"/>
        <v>rokwzgl=26 i lp=94110</v>
      </c>
      <c r="AF91" s="13" t="str">
        <f t="shared" si="34"/>
        <v>rokwzgl=27 i lp=94110</v>
      </c>
      <c r="AG91" s="13" t="str">
        <f t="shared" si="34"/>
        <v>rokwzgl=28 i lp=94110</v>
      </c>
      <c r="AH91" s="13" t="str">
        <f t="shared" si="34"/>
        <v>rokwzgl=29 i lp=94110</v>
      </c>
      <c r="AI91" s="13" t="str">
        <f t="shared" si="34"/>
        <v>rokwzgl=30 i lp=94110</v>
      </c>
      <c r="AJ91" s="13" t="str">
        <f t="shared" si="33"/>
        <v>rokwzgl=31 i lp=94110</v>
      </c>
      <c r="AK91" s="13" t="str">
        <f t="shared" si="33"/>
        <v>rokwzgl=32 i lp=94110</v>
      </c>
      <c r="AL91" s="13" t="str">
        <f t="shared" si="33"/>
        <v>rokwzgl=33 i lp=94110</v>
      </c>
      <c r="AM91" s="13" t="str">
        <f t="shared" si="33"/>
        <v>rokwzgl=34 i lp=94110</v>
      </c>
      <c r="AN91" s="13" t="str">
        <f t="shared" si="32"/>
        <v>rokwzgl=35 i lp=94110</v>
      </c>
      <c r="AO91" s="13" t="str">
        <f t="shared" si="32"/>
        <v>rokwzgl=36 i lp=94110</v>
      </c>
      <c r="AP91" s="13" t="str">
        <f t="shared" si="32"/>
        <v>rokwzgl=37 i lp=94110</v>
      </c>
      <c r="AQ91" s="13" t="str">
        <f t="shared" si="32"/>
        <v>rokwzgl=38 i lp=94110</v>
      </c>
      <c r="AR91" s="13" t="str">
        <f t="shared" si="32"/>
        <v>rokwzgl=39 i lp=94110</v>
      </c>
    </row>
    <row r="92" spans="1:44">
      <c r="A92" s="29">
        <v>100000</v>
      </c>
      <c r="B92" s="12">
        <v>10</v>
      </c>
      <c r="C92" s="13" t="s">
        <v>172</v>
      </c>
      <c r="D92" s="13" t="str">
        <f t="shared" si="27"/>
        <v>rokwzgl=0 i lp=100000</v>
      </c>
      <c r="E92" s="13" t="str">
        <f t="shared" si="27"/>
        <v>rokwzgl=0 i lp=100000</v>
      </c>
      <c r="F92" s="13" t="str">
        <f t="shared" si="27"/>
        <v>rokwzgl=1 i lp=100000</v>
      </c>
      <c r="G92" s="13" t="str">
        <f t="shared" si="27"/>
        <v>rokwzgl=2 i lp=100000</v>
      </c>
      <c r="H92" s="13" t="str">
        <f t="shared" si="27"/>
        <v>rokwzgl=3 i lp=100000</v>
      </c>
      <c r="I92" s="13" t="str">
        <f t="shared" si="27"/>
        <v>rokwzgl=4 i lp=100000</v>
      </c>
      <c r="J92" s="13" t="str">
        <f t="shared" si="27"/>
        <v>rokwzgl=5 i lp=100000</v>
      </c>
      <c r="K92" s="13" t="str">
        <f t="shared" si="27"/>
        <v>rokwzgl=6 i lp=100000</v>
      </c>
      <c r="L92" s="13" t="str">
        <f t="shared" si="27"/>
        <v>rokwzgl=7 i lp=100000</v>
      </c>
      <c r="M92" s="13" t="str">
        <f t="shared" si="27"/>
        <v>rokwzgl=8 i lp=100000</v>
      </c>
      <c r="N92" s="13" t="str">
        <f t="shared" si="31"/>
        <v>rokwzgl=9 i lp=100000</v>
      </c>
      <c r="O92" s="13" t="str">
        <f t="shared" si="31"/>
        <v>rokwzgl=10 i lp=100000</v>
      </c>
      <c r="P92" s="13" t="str">
        <f t="shared" si="31"/>
        <v>rokwzgl=11 i lp=100000</v>
      </c>
      <c r="Q92" s="13" t="str">
        <f t="shared" si="31"/>
        <v>rokwzgl=12 i lp=100000</v>
      </c>
      <c r="R92" s="13" t="str">
        <f t="shared" si="31"/>
        <v>rokwzgl=13 i lp=100000</v>
      </c>
      <c r="S92" s="13" t="str">
        <f t="shared" si="31"/>
        <v>rokwzgl=14 i lp=100000</v>
      </c>
      <c r="T92" s="13" t="str">
        <f t="shared" si="31"/>
        <v>rokwzgl=15 i lp=100000</v>
      </c>
      <c r="U92" s="13" t="str">
        <f t="shared" si="31"/>
        <v>rokwzgl=16 i lp=100000</v>
      </c>
      <c r="V92" s="13" t="str">
        <f t="shared" si="31"/>
        <v>rokwzgl=17 i lp=100000</v>
      </c>
      <c r="W92" s="13" t="str">
        <f t="shared" si="31"/>
        <v>rokwzgl=18 i lp=100000</v>
      </c>
      <c r="X92" s="13" t="str">
        <f t="shared" ref="X92:AI100" si="35">+"rokwzgl="&amp;X$9&amp;" i lp="&amp;$A92</f>
        <v>rokwzgl=19 i lp=100000</v>
      </c>
      <c r="Y92" s="13" t="str">
        <f t="shared" si="35"/>
        <v>rokwzgl=20 i lp=100000</v>
      </c>
      <c r="Z92" s="13" t="str">
        <f t="shared" si="35"/>
        <v>rokwzgl=21 i lp=100000</v>
      </c>
      <c r="AA92" s="13" t="str">
        <f t="shared" si="35"/>
        <v>rokwzgl=22 i lp=100000</v>
      </c>
      <c r="AB92" s="13" t="str">
        <f t="shared" si="35"/>
        <v>rokwzgl=23 i lp=100000</v>
      </c>
      <c r="AC92" s="13" t="str">
        <f t="shared" si="35"/>
        <v>rokwzgl=24 i lp=100000</v>
      </c>
      <c r="AD92" s="13" t="str">
        <f t="shared" si="35"/>
        <v>rokwzgl=25 i lp=100000</v>
      </c>
      <c r="AE92" s="13" t="str">
        <f t="shared" si="35"/>
        <v>rokwzgl=26 i lp=100000</v>
      </c>
      <c r="AF92" s="13" t="str">
        <f t="shared" si="35"/>
        <v>rokwzgl=27 i lp=100000</v>
      </c>
      <c r="AG92" s="13" t="str">
        <f t="shared" si="35"/>
        <v>rokwzgl=28 i lp=100000</v>
      </c>
      <c r="AH92" s="13" t="str">
        <f t="shared" si="35"/>
        <v>rokwzgl=29 i lp=100000</v>
      </c>
      <c r="AI92" s="13" t="str">
        <f t="shared" si="35"/>
        <v>rokwzgl=30 i lp=100000</v>
      </c>
      <c r="AJ92" s="13" t="str">
        <f t="shared" si="33"/>
        <v>rokwzgl=31 i lp=100000</v>
      </c>
      <c r="AK92" s="13" t="str">
        <f t="shared" si="33"/>
        <v>rokwzgl=32 i lp=100000</v>
      </c>
      <c r="AL92" s="13" t="str">
        <f t="shared" si="33"/>
        <v>rokwzgl=33 i lp=100000</v>
      </c>
      <c r="AM92" s="13" t="str">
        <f t="shared" si="33"/>
        <v>rokwzgl=34 i lp=100000</v>
      </c>
      <c r="AN92" s="13" t="str">
        <f t="shared" si="32"/>
        <v>rokwzgl=35 i lp=100000</v>
      </c>
      <c r="AO92" s="13" t="str">
        <f t="shared" si="32"/>
        <v>rokwzgl=36 i lp=100000</v>
      </c>
      <c r="AP92" s="13" t="str">
        <f t="shared" si="32"/>
        <v>rokwzgl=37 i lp=100000</v>
      </c>
      <c r="AQ92" s="13" t="str">
        <f t="shared" si="32"/>
        <v>rokwzgl=38 i lp=100000</v>
      </c>
      <c r="AR92" s="13" t="str">
        <f t="shared" si="32"/>
        <v>rokwzgl=39 i lp=100000</v>
      </c>
    </row>
    <row r="93" spans="1:44">
      <c r="A93" s="29">
        <v>101000</v>
      </c>
      <c r="B93" s="12" t="s">
        <v>65</v>
      </c>
      <c r="C93" s="13" t="s">
        <v>173</v>
      </c>
      <c r="D93" s="13" t="str">
        <f t="shared" si="27"/>
        <v>rokwzgl=0 i lp=101000</v>
      </c>
      <c r="E93" s="13" t="str">
        <f t="shared" si="27"/>
        <v>rokwzgl=0 i lp=101000</v>
      </c>
      <c r="F93" s="13" t="str">
        <f t="shared" si="27"/>
        <v>rokwzgl=1 i lp=101000</v>
      </c>
      <c r="G93" s="13" t="str">
        <f t="shared" si="27"/>
        <v>rokwzgl=2 i lp=101000</v>
      </c>
      <c r="H93" s="13" t="str">
        <f t="shared" si="27"/>
        <v>rokwzgl=3 i lp=101000</v>
      </c>
      <c r="I93" s="13" t="str">
        <f t="shared" si="27"/>
        <v>rokwzgl=4 i lp=101000</v>
      </c>
      <c r="J93" s="13" t="str">
        <f t="shared" si="27"/>
        <v>rokwzgl=5 i lp=101000</v>
      </c>
      <c r="K93" s="13" t="str">
        <f t="shared" si="27"/>
        <v>rokwzgl=6 i lp=101000</v>
      </c>
      <c r="L93" s="13" t="str">
        <f t="shared" si="27"/>
        <v>rokwzgl=7 i lp=101000</v>
      </c>
      <c r="M93" s="13" t="str">
        <f t="shared" si="27"/>
        <v>rokwzgl=8 i lp=101000</v>
      </c>
      <c r="N93" s="13" t="str">
        <f t="shared" si="31"/>
        <v>rokwzgl=9 i lp=101000</v>
      </c>
      <c r="O93" s="13" t="str">
        <f t="shared" si="31"/>
        <v>rokwzgl=10 i lp=101000</v>
      </c>
      <c r="P93" s="13" t="str">
        <f t="shared" si="31"/>
        <v>rokwzgl=11 i lp=101000</v>
      </c>
      <c r="Q93" s="13" t="str">
        <f t="shared" si="31"/>
        <v>rokwzgl=12 i lp=101000</v>
      </c>
      <c r="R93" s="13" t="str">
        <f t="shared" si="31"/>
        <v>rokwzgl=13 i lp=101000</v>
      </c>
      <c r="S93" s="13" t="str">
        <f t="shared" si="31"/>
        <v>rokwzgl=14 i lp=101000</v>
      </c>
      <c r="T93" s="13" t="str">
        <f t="shared" si="31"/>
        <v>rokwzgl=15 i lp=101000</v>
      </c>
      <c r="U93" s="13" t="str">
        <f t="shared" si="31"/>
        <v>rokwzgl=16 i lp=101000</v>
      </c>
      <c r="V93" s="13" t="str">
        <f t="shared" si="31"/>
        <v>rokwzgl=17 i lp=101000</v>
      </c>
      <c r="W93" s="13" t="str">
        <f t="shared" si="31"/>
        <v>rokwzgl=18 i lp=101000</v>
      </c>
      <c r="X93" s="13" t="str">
        <f t="shared" si="35"/>
        <v>rokwzgl=19 i lp=101000</v>
      </c>
      <c r="Y93" s="13" t="str">
        <f t="shared" si="35"/>
        <v>rokwzgl=20 i lp=101000</v>
      </c>
      <c r="Z93" s="13" t="str">
        <f t="shared" si="35"/>
        <v>rokwzgl=21 i lp=101000</v>
      </c>
      <c r="AA93" s="13" t="str">
        <f t="shared" si="35"/>
        <v>rokwzgl=22 i lp=101000</v>
      </c>
      <c r="AB93" s="13" t="str">
        <f t="shared" si="35"/>
        <v>rokwzgl=23 i lp=101000</v>
      </c>
      <c r="AC93" s="13" t="str">
        <f t="shared" si="35"/>
        <v>rokwzgl=24 i lp=101000</v>
      </c>
      <c r="AD93" s="13" t="str">
        <f t="shared" si="35"/>
        <v>rokwzgl=25 i lp=101000</v>
      </c>
      <c r="AE93" s="13" t="str">
        <f t="shared" si="35"/>
        <v>rokwzgl=26 i lp=101000</v>
      </c>
      <c r="AF93" s="13" t="str">
        <f t="shared" si="35"/>
        <v>rokwzgl=27 i lp=101000</v>
      </c>
      <c r="AG93" s="13" t="str">
        <f t="shared" si="35"/>
        <v>rokwzgl=28 i lp=101000</v>
      </c>
      <c r="AH93" s="13" t="str">
        <f t="shared" si="35"/>
        <v>rokwzgl=29 i lp=101000</v>
      </c>
      <c r="AI93" s="13" t="str">
        <f t="shared" si="35"/>
        <v>rokwzgl=30 i lp=101000</v>
      </c>
      <c r="AJ93" s="13" t="str">
        <f t="shared" si="33"/>
        <v>rokwzgl=31 i lp=101000</v>
      </c>
      <c r="AK93" s="13" t="str">
        <f t="shared" si="33"/>
        <v>rokwzgl=32 i lp=101000</v>
      </c>
      <c r="AL93" s="13" t="str">
        <f t="shared" si="33"/>
        <v>rokwzgl=33 i lp=101000</v>
      </c>
      <c r="AM93" s="13" t="str">
        <f t="shared" si="33"/>
        <v>rokwzgl=34 i lp=101000</v>
      </c>
      <c r="AN93" s="13" t="str">
        <f t="shared" si="32"/>
        <v>rokwzgl=35 i lp=101000</v>
      </c>
      <c r="AO93" s="13" t="str">
        <f t="shared" si="32"/>
        <v>rokwzgl=36 i lp=101000</v>
      </c>
      <c r="AP93" s="13" t="str">
        <f t="shared" si="32"/>
        <v>rokwzgl=37 i lp=101000</v>
      </c>
      <c r="AQ93" s="13" t="str">
        <f t="shared" si="32"/>
        <v>rokwzgl=38 i lp=101000</v>
      </c>
      <c r="AR93" s="13" t="str">
        <f t="shared" si="32"/>
        <v>rokwzgl=39 i lp=101000</v>
      </c>
    </row>
    <row r="94" spans="1:44">
      <c r="A94" s="29">
        <v>101100</v>
      </c>
      <c r="B94" s="12" t="s">
        <v>219</v>
      </c>
      <c r="C94" s="13" t="s">
        <v>174</v>
      </c>
      <c r="D94" s="13" t="str">
        <f t="shared" si="27"/>
        <v>rokwzgl=0 i lp=101100</v>
      </c>
      <c r="E94" s="13" t="str">
        <f t="shared" si="27"/>
        <v>rokwzgl=0 i lp=101100</v>
      </c>
      <c r="F94" s="13" t="str">
        <f t="shared" si="27"/>
        <v>rokwzgl=1 i lp=101100</v>
      </c>
      <c r="G94" s="13" t="str">
        <f t="shared" si="27"/>
        <v>rokwzgl=2 i lp=101100</v>
      </c>
      <c r="H94" s="13" t="str">
        <f t="shared" si="27"/>
        <v>rokwzgl=3 i lp=101100</v>
      </c>
      <c r="I94" s="13" t="str">
        <f t="shared" si="27"/>
        <v>rokwzgl=4 i lp=101100</v>
      </c>
      <c r="J94" s="13" t="str">
        <f t="shared" si="27"/>
        <v>rokwzgl=5 i lp=101100</v>
      </c>
      <c r="K94" s="13" t="str">
        <f t="shared" si="27"/>
        <v>rokwzgl=6 i lp=101100</v>
      </c>
      <c r="L94" s="13" t="str">
        <f t="shared" si="27"/>
        <v>rokwzgl=7 i lp=101100</v>
      </c>
      <c r="M94" s="13" t="str">
        <f t="shared" si="27"/>
        <v>rokwzgl=8 i lp=101100</v>
      </c>
      <c r="N94" s="13" t="str">
        <f t="shared" si="31"/>
        <v>rokwzgl=9 i lp=101100</v>
      </c>
      <c r="O94" s="13" t="str">
        <f t="shared" si="31"/>
        <v>rokwzgl=10 i lp=101100</v>
      </c>
      <c r="P94" s="13" t="str">
        <f t="shared" si="31"/>
        <v>rokwzgl=11 i lp=101100</v>
      </c>
      <c r="Q94" s="13" t="str">
        <f t="shared" si="31"/>
        <v>rokwzgl=12 i lp=101100</v>
      </c>
      <c r="R94" s="13" t="str">
        <f t="shared" si="31"/>
        <v>rokwzgl=13 i lp=101100</v>
      </c>
      <c r="S94" s="13" t="str">
        <f t="shared" si="31"/>
        <v>rokwzgl=14 i lp=101100</v>
      </c>
      <c r="T94" s="13" t="str">
        <f t="shared" si="31"/>
        <v>rokwzgl=15 i lp=101100</v>
      </c>
      <c r="U94" s="13" t="str">
        <f t="shared" si="31"/>
        <v>rokwzgl=16 i lp=101100</v>
      </c>
      <c r="V94" s="13" t="str">
        <f t="shared" si="31"/>
        <v>rokwzgl=17 i lp=101100</v>
      </c>
      <c r="W94" s="13" t="str">
        <f t="shared" si="31"/>
        <v>rokwzgl=18 i lp=101100</v>
      </c>
      <c r="X94" s="13" t="str">
        <f t="shared" si="35"/>
        <v>rokwzgl=19 i lp=101100</v>
      </c>
      <c r="Y94" s="13" t="str">
        <f t="shared" si="35"/>
        <v>rokwzgl=20 i lp=101100</v>
      </c>
      <c r="Z94" s="13" t="str">
        <f t="shared" si="35"/>
        <v>rokwzgl=21 i lp=101100</v>
      </c>
      <c r="AA94" s="13" t="str">
        <f t="shared" si="35"/>
        <v>rokwzgl=22 i lp=101100</v>
      </c>
      <c r="AB94" s="13" t="str">
        <f t="shared" si="35"/>
        <v>rokwzgl=23 i lp=101100</v>
      </c>
      <c r="AC94" s="13" t="str">
        <f t="shared" si="35"/>
        <v>rokwzgl=24 i lp=101100</v>
      </c>
      <c r="AD94" s="13" t="str">
        <f t="shared" si="35"/>
        <v>rokwzgl=25 i lp=101100</v>
      </c>
      <c r="AE94" s="13" t="str">
        <f t="shared" si="35"/>
        <v>rokwzgl=26 i lp=101100</v>
      </c>
      <c r="AF94" s="13" t="str">
        <f t="shared" si="35"/>
        <v>rokwzgl=27 i lp=101100</v>
      </c>
      <c r="AG94" s="13" t="str">
        <f t="shared" si="35"/>
        <v>rokwzgl=28 i lp=101100</v>
      </c>
      <c r="AH94" s="13" t="str">
        <f t="shared" si="35"/>
        <v>rokwzgl=29 i lp=101100</v>
      </c>
      <c r="AI94" s="13" t="str">
        <f t="shared" si="35"/>
        <v>rokwzgl=30 i lp=101100</v>
      </c>
      <c r="AJ94" s="13" t="str">
        <f t="shared" si="33"/>
        <v>rokwzgl=31 i lp=101100</v>
      </c>
      <c r="AK94" s="13" t="str">
        <f t="shared" si="33"/>
        <v>rokwzgl=32 i lp=101100</v>
      </c>
      <c r="AL94" s="13" t="str">
        <f t="shared" si="33"/>
        <v>rokwzgl=33 i lp=101100</v>
      </c>
      <c r="AM94" s="13" t="str">
        <f t="shared" si="33"/>
        <v>rokwzgl=34 i lp=101100</v>
      </c>
      <c r="AN94" s="13" t="str">
        <f t="shared" si="32"/>
        <v>rokwzgl=35 i lp=101100</v>
      </c>
      <c r="AO94" s="13" t="str">
        <f t="shared" si="32"/>
        <v>rokwzgl=36 i lp=101100</v>
      </c>
      <c r="AP94" s="13" t="str">
        <f t="shared" si="32"/>
        <v>rokwzgl=37 i lp=101100</v>
      </c>
      <c r="AQ94" s="13" t="str">
        <f t="shared" si="32"/>
        <v>rokwzgl=38 i lp=101100</v>
      </c>
      <c r="AR94" s="13" t="str">
        <f t="shared" si="32"/>
        <v>rokwzgl=39 i lp=101100</v>
      </c>
    </row>
    <row r="95" spans="1:44">
      <c r="A95" s="29">
        <v>101200</v>
      </c>
      <c r="B95" s="12" t="s">
        <v>220</v>
      </c>
      <c r="C95" s="13" t="s">
        <v>175</v>
      </c>
      <c r="D95" s="13" t="str">
        <f t="shared" si="27"/>
        <v>rokwzgl=0 i lp=101200</v>
      </c>
      <c r="E95" s="13" t="str">
        <f t="shared" si="27"/>
        <v>rokwzgl=0 i lp=101200</v>
      </c>
      <c r="F95" s="13" t="str">
        <f t="shared" si="27"/>
        <v>rokwzgl=1 i lp=101200</v>
      </c>
      <c r="G95" s="13" t="str">
        <f t="shared" si="27"/>
        <v>rokwzgl=2 i lp=101200</v>
      </c>
      <c r="H95" s="13" t="str">
        <f t="shared" si="27"/>
        <v>rokwzgl=3 i lp=101200</v>
      </c>
      <c r="I95" s="13" t="str">
        <f t="shared" si="27"/>
        <v>rokwzgl=4 i lp=101200</v>
      </c>
      <c r="J95" s="13" t="str">
        <f t="shared" si="27"/>
        <v>rokwzgl=5 i lp=101200</v>
      </c>
      <c r="K95" s="13" t="str">
        <f t="shared" si="27"/>
        <v>rokwzgl=6 i lp=101200</v>
      </c>
      <c r="L95" s="13" t="str">
        <f t="shared" si="27"/>
        <v>rokwzgl=7 i lp=101200</v>
      </c>
      <c r="M95" s="13" t="str">
        <f t="shared" si="27"/>
        <v>rokwzgl=8 i lp=101200</v>
      </c>
      <c r="N95" s="13" t="str">
        <f t="shared" si="31"/>
        <v>rokwzgl=9 i lp=101200</v>
      </c>
      <c r="O95" s="13" t="str">
        <f t="shared" si="31"/>
        <v>rokwzgl=10 i lp=101200</v>
      </c>
      <c r="P95" s="13" t="str">
        <f t="shared" si="31"/>
        <v>rokwzgl=11 i lp=101200</v>
      </c>
      <c r="Q95" s="13" t="str">
        <f t="shared" si="31"/>
        <v>rokwzgl=12 i lp=101200</v>
      </c>
      <c r="R95" s="13" t="str">
        <f t="shared" si="31"/>
        <v>rokwzgl=13 i lp=101200</v>
      </c>
      <c r="S95" s="13" t="str">
        <f t="shared" si="31"/>
        <v>rokwzgl=14 i lp=101200</v>
      </c>
      <c r="T95" s="13" t="str">
        <f t="shared" si="31"/>
        <v>rokwzgl=15 i lp=101200</v>
      </c>
      <c r="U95" s="13" t="str">
        <f t="shared" si="31"/>
        <v>rokwzgl=16 i lp=101200</v>
      </c>
      <c r="V95" s="13" t="str">
        <f t="shared" si="31"/>
        <v>rokwzgl=17 i lp=101200</v>
      </c>
      <c r="W95" s="13" t="str">
        <f t="shared" si="31"/>
        <v>rokwzgl=18 i lp=101200</v>
      </c>
      <c r="X95" s="13" t="str">
        <f t="shared" si="35"/>
        <v>rokwzgl=19 i lp=101200</v>
      </c>
      <c r="Y95" s="13" t="str">
        <f t="shared" si="35"/>
        <v>rokwzgl=20 i lp=101200</v>
      </c>
      <c r="Z95" s="13" t="str">
        <f t="shared" si="35"/>
        <v>rokwzgl=21 i lp=101200</v>
      </c>
      <c r="AA95" s="13" t="str">
        <f t="shared" si="35"/>
        <v>rokwzgl=22 i lp=101200</v>
      </c>
      <c r="AB95" s="13" t="str">
        <f t="shared" si="35"/>
        <v>rokwzgl=23 i lp=101200</v>
      </c>
      <c r="AC95" s="13" t="str">
        <f t="shared" si="35"/>
        <v>rokwzgl=24 i lp=101200</v>
      </c>
      <c r="AD95" s="13" t="str">
        <f t="shared" si="35"/>
        <v>rokwzgl=25 i lp=101200</v>
      </c>
      <c r="AE95" s="13" t="str">
        <f t="shared" si="35"/>
        <v>rokwzgl=26 i lp=101200</v>
      </c>
      <c r="AF95" s="13" t="str">
        <f t="shared" si="35"/>
        <v>rokwzgl=27 i lp=101200</v>
      </c>
      <c r="AG95" s="13" t="str">
        <f t="shared" si="35"/>
        <v>rokwzgl=28 i lp=101200</v>
      </c>
      <c r="AH95" s="13" t="str">
        <f t="shared" si="35"/>
        <v>rokwzgl=29 i lp=101200</v>
      </c>
      <c r="AI95" s="13" t="str">
        <f t="shared" si="35"/>
        <v>rokwzgl=30 i lp=101200</v>
      </c>
      <c r="AJ95" s="13" t="str">
        <f t="shared" si="33"/>
        <v>rokwzgl=31 i lp=101200</v>
      </c>
      <c r="AK95" s="13" t="str">
        <f t="shared" si="33"/>
        <v>rokwzgl=32 i lp=101200</v>
      </c>
      <c r="AL95" s="13" t="str">
        <f t="shared" si="33"/>
        <v>rokwzgl=33 i lp=101200</v>
      </c>
      <c r="AM95" s="13" t="str">
        <f t="shared" si="33"/>
        <v>rokwzgl=34 i lp=101200</v>
      </c>
      <c r="AN95" s="13" t="str">
        <f t="shared" si="32"/>
        <v>rokwzgl=35 i lp=101200</v>
      </c>
      <c r="AO95" s="13" t="str">
        <f t="shared" si="32"/>
        <v>rokwzgl=36 i lp=101200</v>
      </c>
      <c r="AP95" s="13" t="str">
        <f t="shared" si="32"/>
        <v>rokwzgl=37 i lp=101200</v>
      </c>
      <c r="AQ95" s="13" t="str">
        <f t="shared" si="32"/>
        <v>rokwzgl=38 i lp=101200</v>
      </c>
      <c r="AR95" s="13" t="str">
        <f t="shared" si="32"/>
        <v>rokwzgl=39 i lp=101200</v>
      </c>
    </row>
    <row r="96" spans="1:44">
      <c r="A96" s="29">
        <v>102000</v>
      </c>
      <c r="B96" s="12" t="s">
        <v>233</v>
      </c>
      <c r="C96" s="13" t="s">
        <v>176</v>
      </c>
      <c r="D96" s="13" t="str">
        <f t="shared" si="27"/>
        <v>rokwzgl=0 i lp=102000</v>
      </c>
      <c r="E96" s="13" t="str">
        <f t="shared" si="27"/>
        <v>rokwzgl=0 i lp=102000</v>
      </c>
      <c r="F96" s="13" t="str">
        <f t="shared" si="27"/>
        <v>rokwzgl=1 i lp=102000</v>
      </c>
      <c r="G96" s="13" t="str">
        <f t="shared" si="27"/>
        <v>rokwzgl=2 i lp=102000</v>
      </c>
      <c r="H96" s="13" t="str">
        <f t="shared" si="27"/>
        <v>rokwzgl=3 i lp=102000</v>
      </c>
      <c r="I96" s="13" t="str">
        <f t="shared" si="27"/>
        <v>rokwzgl=4 i lp=102000</v>
      </c>
      <c r="J96" s="13" t="str">
        <f t="shared" si="27"/>
        <v>rokwzgl=5 i lp=102000</v>
      </c>
      <c r="K96" s="13" t="str">
        <f t="shared" si="27"/>
        <v>rokwzgl=6 i lp=102000</v>
      </c>
      <c r="L96" s="13" t="str">
        <f t="shared" si="27"/>
        <v>rokwzgl=7 i lp=102000</v>
      </c>
      <c r="M96" s="13" t="str">
        <f t="shared" si="27"/>
        <v>rokwzgl=8 i lp=102000</v>
      </c>
      <c r="N96" s="13" t="str">
        <f t="shared" si="31"/>
        <v>rokwzgl=9 i lp=102000</v>
      </c>
      <c r="O96" s="13" t="str">
        <f t="shared" si="31"/>
        <v>rokwzgl=10 i lp=102000</v>
      </c>
      <c r="P96" s="13" t="str">
        <f t="shared" si="31"/>
        <v>rokwzgl=11 i lp=102000</v>
      </c>
      <c r="Q96" s="13" t="str">
        <f t="shared" si="31"/>
        <v>rokwzgl=12 i lp=102000</v>
      </c>
      <c r="R96" s="13" t="str">
        <f t="shared" si="31"/>
        <v>rokwzgl=13 i lp=102000</v>
      </c>
      <c r="S96" s="13" t="str">
        <f t="shared" si="31"/>
        <v>rokwzgl=14 i lp=102000</v>
      </c>
      <c r="T96" s="13" t="str">
        <f t="shared" si="31"/>
        <v>rokwzgl=15 i lp=102000</v>
      </c>
      <c r="U96" s="13" t="str">
        <f t="shared" si="31"/>
        <v>rokwzgl=16 i lp=102000</v>
      </c>
      <c r="V96" s="13" t="str">
        <f t="shared" si="31"/>
        <v>rokwzgl=17 i lp=102000</v>
      </c>
      <c r="W96" s="13" t="str">
        <f t="shared" si="31"/>
        <v>rokwzgl=18 i lp=102000</v>
      </c>
      <c r="X96" s="13" t="str">
        <f t="shared" si="35"/>
        <v>rokwzgl=19 i lp=102000</v>
      </c>
      <c r="Y96" s="13" t="str">
        <f t="shared" si="35"/>
        <v>rokwzgl=20 i lp=102000</v>
      </c>
      <c r="Z96" s="13" t="str">
        <f t="shared" si="35"/>
        <v>rokwzgl=21 i lp=102000</v>
      </c>
      <c r="AA96" s="13" t="str">
        <f t="shared" si="35"/>
        <v>rokwzgl=22 i lp=102000</v>
      </c>
      <c r="AB96" s="13" t="str">
        <f t="shared" si="35"/>
        <v>rokwzgl=23 i lp=102000</v>
      </c>
      <c r="AC96" s="13" t="str">
        <f t="shared" si="35"/>
        <v>rokwzgl=24 i lp=102000</v>
      </c>
      <c r="AD96" s="13" t="str">
        <f t="shared" si="35"/>
        <v>rokwzgl=25 i lp=102000</v>
      </c>
      <c r="AE96" s="13" t="str">
        <f t="shared" si="35"/>
        <v>rokwzgl=26 i lp=102000</v>
      </c>
      <c r="AF96" s="13" t="str">
        <f t="shared" si="35"/>
        <v>rokwzgl=27 i lp=102000</v>
      </c>
      <c r="AG96" s="13" t="str">
        <f t="shared" si="35"/>
        <v>rokwzgl=28 i lp=102000</v>
      </c>
      <c r="AH96" s="13" t="str">
        <f t="shared" si="35"/>
        <v>rokwzgl=29 i lp=102000</v>
      </c>
      <c r="AI96" s="13" t="str">
        <f t="shared" si="35"/>
        <v>rokwzgl=30 i lp=102000</v>
      </c>
      <c r="AJ96" s="13" t="str">
        <f t="shared" si="33"/>
        <v>rokwzgl=31 i lp=102000</v>
      </c>
      <c r="AK96" s="13" t="str">
        <f t="shared" si="33"/>
        <v>rokwzgl=32 i lp=102000</v>
      </c>
      <c r="AL96" s="13" t="str">
        <f t="shared" si="33"/>
        <v>rokwzgl=33 i lp=102000</v>
      </c>
      <c r="AM96" s="13" t="str">
        <f t="shared" si="33"/>
        <v>rokwzgl=34 i lp=102000</v>
      </c>
      <c r="AN96" s="13" t="str">
        <f t="shared" si="32"/>
        <v>rokwzgl=35 i lp=102000</v>
      </c>
      <c r="AO96" s="13" t="str">
        <f t="shared" si="32"/>
        <v>rokwzgl=36 i lp=102000</v>
      </c>
      <c r="AP96" s="13" t="str">
        <f t="shared" si="32"/>
        <v>rokwzgl=37 i lp=102000</v>
      </c>
      <c r="AQ96" s="13" t="str">
        <f t="shared" si="32"/>
        <v>rokwzgl=38 i lp=102000</v>
      </c>
      <c r="AR96" s="13" t="str">
        <f t="shared" si="32"/>
        <v>rokwzgl=39 i lp=102000</v>
      </c>
    </row>
    <row r="97" spans="1:44">
      <c r="A97" s="29">
        <v>103000</v>
      </c>
      <c r="B97" s="12" t="s">
        <v>234</v>
      </c>
      <c r="C97" s="13" t="s">
        <v>177</v>
      </c>
      <c r="D97" s="13" t="str">
        <f t="shared" si="27"/>
        <v>rokwzgl=0 i lp=103000</v>
      </c>
      <c r="E97" s="13" t="str">
        <f t="shared" si="27"/>
        <v>rokwzgl=0 i lp=103000</v>
      </c>
      <c r="F97" s="13" t="str">
        <f t="shared" si="27"/>
        <v>rokwzgl=1 i lp=103000</v>
      </c>
      <c r="G97" s="13" t="str">
        <f t="shared" si="27"/>
        <v>rokwzgl=2 i lp=103000</v>
      </c>
      <c r="H97" s="13" t="str">
        <f t="shared" si="27"/>
        <v>rokwzgl=3 i lp=103000</v>
      </c>
      <c r="I97" s="13" t="str">
        <f t="shared" si="27"/>
        <v>rokwzgl=4 i lp=103000</v>
      </c>
      <c r="J97" s="13" t="str">
        <f t="shared" si="27"/>
        <v>rokwzgl=5 i lp=103000</v>
      </c>
      <c r="K97" s="13" t="str">
        <f t="shared" si="27"/>
        <v>rokwzgl=6 i lp=103000</v>
      </c>
      <c r="L97" s="13" t="str">
        <f t="shared" si="27"/>
        <v>rokwzgl=7 i lp=103000</v>
      </c>
      <c r="M97" s="13" t="str">
        <f t="shared" si="27"/>
        <v>rokwzgl=8 i lp=103000</v>
      </c>
      <c r="N97" s="13" t="str">
        <f t="shared" si="31"/>
        <v>rokwzgl=9 i lp=103000</v>
      </c>
      <c r="O97" s="13" t="str">
        <f t="shared" si="31"/>
        <v>rokwzgl=10 i lp=103000</v>
      </c>
      <c r="P97" s="13" t="str">
        <f t="shared" si="31"/>
        <v>rokwzgl=11 i lp=103000</v>
      </c>
      <c r="Q97" s="13" t="str">
        <f t="shared" si="31"/>
        <v>rokwzgl=12 i lp=103000</v>
      </c>
      <c r="R97" s="13" t="str">
        <f t="shared" si="31"/>
        <v>rokwzgl=13 i lp=103000</v>
      </c>
      <c r="S97" s="13" t="str">
        <f t="shared" si="31"/>
        <v>rokwzgl=14 i lp=103000</v>
      </c>
      <c r="T97" s="13" t="str">
        <f t="shared" si="31"/>
        <v>rokwzgl=15 i lp=103000</v>
      </c>
      <c r="U97" s="13" t="str">
        <f t="shared" si="31"/>
        <v>rokwzgl=16 i lp=103000</v>
      </c>
      <c r="V97" s="13" t="str">
        <f t="shared" si="31"/>
        <v>rokwzgl=17 i lp=103000</v>
      </c>
      <c r="W97" s="13" t="str">
        <f t="shared" si="31"/>
        <v>rokwzgl=18 i lp=103000</v>
      </c>
      <c r="X97" s="13" t="str">
        <f t="shared" si="35"/>
        <v>rokwzgl=19 i lp=103000</v>
      </c>
      <c r="Y97" s="13" t="str">
        <f t="shared" si="35"/>
        <v>rokwzgl=20 i lp=103000</v>
      </c>
      <c r="Z97" s="13" t="str">
        <f t="shared" si="35"/>
        <v>rokwzgl=21 i lp=103000</v>
      </c>
      <c r="AA97" s="13" t="str">
        <f t="shared" si="35"/>
        <v>rokwzgl=22 i lp=103000</v>
      </c>
      <c r="AB97" s="13" t="str">
        <f t="shared" si="35"/>
        <v>rokwzgl=23 i lp=103000</v>
      </c>
      <c r="AC97" s="13" t="str">
        <f t="shared" si="35"/>
        <v>rokwzgl=24 i lp=103000</v>
      </c>
      <c r="AD97" s="13" t="str">
        <f t="shared" si="35"/>
        <v>rokwzgl=25 i lp=103000</v>
      </c>
      <c r="AE97" s="13" t="str">
        <f t="shared" si="35"/>
        <v>rokwzgl=26 i lp=103000</v>
      </c>
      <c r="AF97" s="13" t="str">
        <f t="shared" si="35"/>
        <v>rokwzgl=27 i lp=103000</v>
      </c>
      <c r="AG97" s="13" t="str">
        <f t="shared" si="35"/>
        <v>rokwzgl=28 i lp=103000</v>
      </c>
      <c r="AH97" s="13" t="str">
        <f t="shared" si="35"/>
        <v>rokwzgl=29 i lp=103000</v>
      </c>
      <c r="AI97" s="13" t="str">
        <f t="shared" si="35"/>
        <v>rokwzgl=30 i lp=103000</v>
      </c>
      <c r="AJ97" s="13" t="str">
        <f t="shared" si="33"/>
        <v>rokwzgl=31 i lp=103000</v>
      </c>
      <c r="AK97" s="13" t="str">
        <f t="shared" si="33"/>
        <v>rokwzgl=32 i lp=103000</v>
      </c>
      <c r="AL97" s="13" t="str">
        <f t="shared" si="33"/>
        <v>rokwzgl=33 i lp=103000</v>
      </c>
      <c r="AM97" s="13" t="str">
        <f t="shared" si="33"/>
        <v>rokwzgl=34 i lp=103000</v>
      </c>
      <c r="AN97" s="13" t="str">
        <f t="shared" si="32"/>
        <v>rokwzgl=35 i lp=103000</v>
      </c>
      <c r="AO97" s="13" t="str">
        <f t="shared" si="32"/>
        <v>rokwzgl=36 i lp=103000</v>
      </c>
      <c r="AP97" s="13" t="str">
        <f t="shared" si="32"/>
        <v>rokwzgl=37 i lp=103000</v>
      </c>
      <c r="AQ97" s="13" t="str">
        <f t="shared" si="32"/>
        <v>rokwzgl=38 i lp=103000</v>
      </c>
      <c r="AR97" s="13" t="str">
        <f t="shared" si="32"/>
        <v>rokwzgl=39 i lp=103000</v>
      </c>
    </row>
    <row r="98" spans="1:44">
      <c r="A98" s="29">
        <v>104000</v>
      </c>
      <c r="B98" s="12" t="s">
        <v>235</v>
      </c>
      <c r="C98" s="13" t="s">
        <v>178</v>
      </c>
      <c r="D98" s="13" t="str">
        <f t="shared" si="27"/>
        <v>rokwzgl=0 i lp=104000</v>
      </c>
      <c r="E98" s="13" t="str">
        <f t="shared" si="27"/>
        <v>rokwzgl=0 i lp=104000</v>
      </c>
      <c r="F98" s="13" t="str">
        <f t="shared" si="27"/>
        <v>rokwzgl=1 i lp=104000</v>
      </c>
      <c r="G98" s="13" t="str">
        <f t="shared" si="27"/>
        <v>rokwzgl=2 i lp=104000</v>
      </c>
      <c r="H98" s="13" t="str">
        <f t="shared" si="27"/>
        <v>rokwzgl=3 i lp=104000</v>
      </c>
      <c r="I98" s="13" t="str">
        <f t="shared" si="27"/>
        <v>rokwzgl=4 i lp=104000</v>
      </c>
      <c r="J98" s="13" t="str">
        <f t="shared" si="27"/>
        <v>rokwzgl=5 i lp=104000</v>
      </c>
      <c r="K98" s="13" t="str">
        <f t="shared" si="27"/>
        <v>rokwzgl=6 i lp=104000</v>
      </c>
      <c r="L98" s="13" t="str">
        <f t="shared" si="27"/>
        <v>rokwzgl=7 i lp=104000</v>
      </c>
      <c r="M98" s="13" t="str">
        <f t="shared" si="27"/>
        <v>rokwzgl=8 i lp=104000</v>
      </c>
      <c r="N98" s="13" t="str">
        <f t="shared" si="31"/>
        <v>rokwzgl=9 i lp=104000</v>
      </c>
      <c r="O98" s="13" t="str">
        <f t="shared" si="31"/>
        <v>rokwzgl=10 i lp=104000</v>
      </c>
      <c r="P98" s="13" t="str">
        <f t="shared" si="31"/>
        <v>rokwzgl=11 i lp=104000</v>
      </c>
      <c r="Q98" s="13" t="str">
        <f t="shared" si="31"/>
        <v>rokwzgl=12 i lp=104000</v>
      </c>
      <c r="R98" s="13" t="str">
        <f t="shared" si="31"/>
        <v>rokwzgl=13 i lp=104000</v>
      </c>
      <c r="S98" s="13" t="str">
        <f t="shared" si="31"/>
        <v>rokwzgl=14 i lp=104000</v>
      </c>
      <c r="T98" s="13" t="str">
        <f t="shared" si="31"/>
        <v>rokwzgl=15 i lp=104000</v>
      </c>
      <c r="U98" s="13" t="str">
        <f t="shared" si="31"/>
        <v>rokwzgl=16 i lp=104000</v>
      </c>
      <c r="V98" s="13" t="str">
        <f t="shared" si="31"/>
        <v>rokwzgl=17 i lp=104000</v>
      </c>
      <c r="W98" s="13" t="str">
        <f t="shared" si="31"/>
        <v>rokwzgl=18 i lp=104000</v>
      </c>
      <c r="X98" s="13" t="str">
        <f t="shared" si="35"/>
        <v>rokwzgl=19 i lp=104000</v>
      </c>
      <c r="Y98" s="13" t="str">
        <f t="shared" si="35"/>
        <v>rokwzgl=20 i lp=104000</v>
      </c>
      <c r="Z98" s="13" t="str">
        <f t="shared" si="35"/>
        <v>rokwzgl=21 i lp=104000</v>
      </c>
      <c r="AA98" s="13" t="str">
        <f t="shared" si="35"/>
        <v>rokwzgl=22 i lp=104000</v>
      </c>
      <c r="AB98" s="13" t="str">
        <f t="shared" si="35"/>
        <v>rokwzgl=23 i lp=104000</v>
      </c>
      <c r="AC98" s="13" t="str">
        <f t="shared" si="35"/>
        <v>rokwzgl=24 i lp=104000</v>
      </c>
      <c r="AD98" s="13" t="str">
        <f t="shared" si="35"/>
        <v>rokwzgl=25 i lp=104000</v>
      </c>
      <c r="AE98" s="13" t="str">
        <f t="shared" si="35"/>
        <v>rokwzgl=26 i lp=104000</v>
      </c>
      <c r="AF98" s="13" t="str">
        <f t="shared" si="35"/>
        <v>rokwzgl=27 i lp=104000</v>
      </c>
      <c r="AG98" s="13" t="str">
        <f t="shared" si="35"/>
        <v>rokwzgl=28 i lp=104000</v>
      </c>
      <c r="AH98" s="13" t="str">
        <f t="shared" si="35"/>
        <v>rokwzgl=29 i lp=104000</v>
      </c>
      <c r="AI98" s="13" t="str">
        <f t="shared" si="35"/>
        <v>rokwzgl=30 i lp=104000</v>
      </c>
      <c r="AJ98" s="13" t="str">
        <f t="shared" si="33"/>
        <v>rokwzgl=31 i lp=104000</v>
      </c>
      <c r="AK98" s="13" t="str">
        <f t="shared" si="33"/>
        <v>rokwzgl=32 i lp=104000</v>
      </c>
      <c r="AL98" s="13" t="str">
        <f t="shared" si="33"/>
        <v>rokwzgl=33 i lp=104000</v>
      </c>
      <c r="AM98" s="13" t="str">
        <f t="shared" si="33"/>
        <v>rokwzgl=34 i lp=104000</v>
      </c>
      <c r="AN98" s="13" t="str">
        <f t="shared" si="32"/>
        <v>rokwzgl=35 i lp=104000</v>
      </c>
      <c r="AO98" s="13" t="str">
        <f t="shared" si="32"/>
        <v>rokwzgl=36 i lp=104000</v>
      </c>
      <c r="AP98" s="13" t="str">
        <f t="shared" si="32"/>
        <v>rokwzgl=37 i lp=104000</v>
      </c>
      <c r="AQ98" s="13" t="str">
        <f t="shared" si="32"/>
        <v>rokwzgl=38 i lp=104000</v>
      </c>
      <c r="AR98" s="13" t="str">
        <f t="shared" si="32"/>
        <v>rokwzgl=39 i lp=104000</v>
      </c>
    </row>
    <row r="99" spans="1:44">
      <c r="A99" s="29">
        <v>105000</v>
      </c>
      <c r="B99" s="12" t="s">
        <v>236</v>
      </c>
      <c r="C99" s="13" t="s">
        <v>179</v>
      </c>
      <c r="D99" s="13" t="str">
        <f t="shared" si="27"/>
        <v>rokwzgl=0 i lp=105000</v>
      </c>
      <c r="E99" s="13" t="str">
        <f t="shared" si="27"/>
        <v>rokwzgl=0 i lp=105000</v>
      </c>
      <c r="F99" s="13" t="str">
        <f t="shared" si="27"/>
        <v>rokwzgl=1 i lp=105000</v>
      </c>
      <c r="G99" s="13" t="str">
        <f t="shared" si="27"/>
        <v>rokwzgl=2 i lp=105000</v>
      </c>
      <c r="H99" s="13" t="str">
        <f t="shared" si="27"/>
        <v>rokwzgl=3 i lp=105000</v>
      </c>
      <c r="I99" s="13" t="str">
        <f t="shared" si="27"/>
        <v>rokwzgl=4 i lp=105000</v>
      </c>
      <c r="J99" s="13" t="str">
        <f t="shared" si="27"/>
        <v>rokwzgl=5 i lp=105000</v>
      </c>
      <c r="K99" s="13" t="str">
        <f t="shared" si="27"/>
        <v>rokwzgl=6 i lp=105000</v>
      </c>
      <c r="L99" s="13" t="str">
        <f t="shared" si="27"/>
        <v>rokwzgl=7 i lp=105000</v>
      </c>
      <c r="M99" s="13" t="str">
        <f t="shared" si="27"/>
        <v>rokwzgl=8 i lp=105000</v>
      </c>
      <c r="N99" s="13" t="str">
        <f t="shared" si="31"/>
        <v>rokwzgl=9 i lp=105000</v>
      </c>
      <c r="O99" s="13" t="str">
        <f t="shared" si="31"/>
        <v>rokwzgl=10 i lp=105000</v>
      </c>
      <c r="P99" s="13" t="str">
        <f t="shared" si="31"/>
        <v>rokwzgl=11 i lp=105000</v>
      </c>
      <c r="Q99" s="13" t="str">
        <f t="shared" si="31"/>
        <v>rokwzgl=12 i lp=105000</v>
      </c>
      <c r="R99" s="13" t="str">
        <f t="shared" si="31"/>
        <v>rokwzgl=13 i lp=105000</v>
      </c>
      <c r="S99" s="13" t="str">
        <f t="shared" si="31"/>
        <v>rokwzgl=14 i lp=105000</v>
      </c>
      <c r="T99" s="13" t="str">
        <f t="shared" si="31"/>
        <v>rokwzgl=15 i lp=105000</v>
      </c>
      <c r="U99" s="13" t="str">
        <f t="shared" si="31"/>
        <v>rokwzgl=16 i lp=105000</v>
      </c>
      <c r="V99" s="13" t="str">
        <f t="shared" si="31"/>
        <v>rokwzgl=17 i lp=105000</v>
      </c>
      <c r="W99" s="13" t="str">
        <f t="shared" si="31"/>
        <v>rokwzgl=18 i lp=105000</v>
      </c>
      <c r="X99" s="13" t="str">
        <f t="shared" si="35"/>
        <v>rokwzgl=19 i lp=105000</v>
      </c>
      <c r="Y99" s="13" t="str">
        <f t="shared" si="35"/>
        <v>rokwzgl=20 i lp=105000</v>
      </c>
      <c r="Z99" s="13" t="str">
        <f t="shared" si="35"/>
        <v>rokwzgl=21 i lp=105000</v>
      </c>
      <c r="AA99" s="13" t="str">
        <f t="shared" si="35"/>
        <v>rokwzgl=22 i lp=105000</v>
      </c>
      <c r="AB99" s="13" t="str">
        <f t="shared" si="35"/>
        <v>rokwzgl=23 i lp=105000</v>
      </c>
      <c r="AC99" s="13" t="str">
        <f t="shared" si="35"/>
        <v>rokwzgl=24 i lp=105000</v>
      </c>
      <c r="AD99" s="13" t="str">
        <f t="shared" si="35"/>
        <v>rokwzgl=25 i lp=105000</v>
      </c>
      <c r="AE99" s="13" t="str">
        <f t="shared" si="35"/>
        <v>rokwzgl=26 i lp=105000</v>
      </c>
      <c r="AF99" s="13" t="str">
        <f t="shared" si="35"/>
        <v>rokwzgl=27 i lp=105000</v>
      </c>
      <c r="AG99" s="13" t="str">
        <f t="shared" si="35"/>
        <v>rokwzgl=28 i lp=105000</v>
      </c>
      <c r="AH99" s="13" t="str">
        <f t="shared" si="35"/>
        <v>rokwzgl=29 i lp=105000</v>
      </c>
      <c r="AI99" s="13" t="str">
        <f t="shared" si="35"/>
        <v>rokwzgl=30 i lp=105000</v>
      </c>
      <c r="AJ99" s="13" t="str">
        <f t="shared" si="33"/>
        <v>rokwzgl=31 i lp=105000</v>
      </c>
      <c r="AK99" s="13" t="str">
        <f t="shared" si="33"/>
        <v>rokwzgl=32 i lp=105000</v>
      </c>
      <c r="AL99" s="13" t="str">
        <f t="shared" si="33"/>
        <v>rokwzgl=33 i lp=105000</v>
      </c>
      <c r="AM99" s="13" t="str">
        <f t="shared" si="33"/>
        <v>rokwzgl=34 i lp=105000</v>
      </c>
      <c r="AN99" s="13" t="str">
        <f t="shared" si="32"/>
        <v>rokwzgl=35 i lp=105000</v>
      </c>
      <c r="AO99" s="13" t="str">
        <f t="shared" si="32"/>
        <v>rokwzgl=36 i lp=105000</v>
      </c>
      <c r="AP99" s="13" t="str">
        <f t="shared" si="32"/>
        <v>rokwzgl=37 i lp=105000</v>
      </c>
      <c r="AQ99" s="13" t="str">
        <f t="shared" si="32"/>
        <v>rokwzgl=38 i lp=105000</v>
      </c>
      <c r="AR99" s="13" t="str">
        <f t="shared" si="32"/>
        <v>rokwzgl=39 i lp=105000</v>
      </c>
    </row>
    <row r="100" spans="1:44">
      <c r="A100" s="29">
        <v>106000</v>
      </c>
      <c r="B100" s="12" t="s">
        <v>237</v>
      </c>
      <c r="C100" s="13" t="s">
        <v>180</v>
      </c>
      <c r="D100" s="13" t="str">
        <f t="shared" si="27"/>
        <v>rokwzgl=0 i lp=106000</v>
      </c>
      <c r="E100" s="13" t="str">
        <f t="shared" si="27"/>
        <v>rokwzgl=0 i lp=106000</v>
      </c>
      <c r="F100" s="13" t="str">
        <f t="shared" si="27"/>
        <v>rokwzgl=1 i lp=106000</v>
      </c>
      <c r="G100" s="13" t="str">
        <f t="shared" si="27"/>
        <v>rokwzgl=2 i lp=106000</v>
      </c>
      <c r="H100" s="13" t="str">
        <f t="shared" si="27"/>
        <v>rokwzgl=3 i lp=106000</v>
      </c>
      <c r="I100" s="13" t="str">
        <f t="shared" si="27"/>
        <v>rokwzgl=4 i lp=106000</v>
      </c>
      <c r="J100" s="13" t="str">
        <f t="shared" si="27"/>
        <v>rokwzgl=5 i lp=106000</v>
      </c>
      <c r="K100" s="13" t="str">
        <f t="shared" si="27"/>
        <v>rokwzgl=6 i lp=106000</v>
      </c>
      <c r="L100" s="13" t="str">
        <f t="shared" si="27"/>
        <v>rokwzgl=7 i lp=106000</v>
      </c>
      <c r="M100" s="13" t="str">
        <f t="shared" si="27"/>
        <v>rokwzgl=8 i lp=106000</v>
      </c>
      <c r="N100" s="13" t="str">
        <f t="shared" si="31"/>
        <v>rokwzgl=9 i lp=106000</v>
      </c>
      <c r="O100" s="13" t="str">
        <f t="shared" si="31"/>
        <v>rokwzgl=10 i lp=106000</v>
      </c>
      <c r="P100" s="13" t="str">
        <f t="shared" si="31"/>
        <v>rokwzgl=11 i lp=106000</v>
      </c>
      <c r="Q100" s="13" t="str">
        <f t="shared" si="31"/>
        <v>rokwzgl=12 i lp=106000</v>
      </c>
      <c r="R100" s="13" t="str">
        <f t="shared" si="31"/>
        <v>rokwzgl=13 i lp=106000</v>
      </c>
      <c r="S100" s="13" t="str">
        <f t="shared" si="31"/>
        <v>rokwzgl=14 i lp=106000</v>
      </c>
      <c r="T100" s="13" t="str">
        <f t="shared" si="31"/>
        <v>rokwzgl=15 i lp=106000</v>
      </c>
      <c r="U100" s="13" t="str">
        <f t="shared" si="31"/>
        <v>rokwzgl=16 i lp=106000</v>
      </c>
      <c r="V100" s="13" t="str">
        <f t="shared" si="31"/>
        <v>rokwzgl=17 i lp=106000</v>
      </c>
      <c r="W100" s="13" t="str">
        <f t="shared" si="31"/>
        <v>rokwzgl=18 i lp=106000</v>
      </c>
      <c r="X100" s="13" t="str">
        <f t="shared" si="35"/>
        <v>rokwzgl=19 i lp=106000</v>
      </c>
      <c r="Y100" s="13" t="str">
        <f t="shared" si="35"/>
        <v>rokwzgl=20 i lp=106000</v>
      </c>
      <c r="Z100" s="13" t="str">
        <f t="shared" si="35"/>
        <v>rokwzgl=21 i lp=106000</v>
      </c>
      <c r="AA100" s="13" t="str">
        <f t="shared" si="35"/>
        <v>rokwzgl=22 i lp=106000</v>
      </c>
      <c r="AB100" s="13" t="str">
        <f t="shared" si="35"/>
        <v>rokwzgl=23 i lp=106000</v>
      </c>
      <c r="AC100" s="13" t="str">
        <f t="shared" si="35"/>
        <v>rokwzgl=24 i lp=106000</v>
      </c>
      <c r="AD100" s="13" t="str">
        <f t="shared" si="35"/>
        <v>rokwzgl=25 i lp=106000</v>
      </c>
      <c r="AE100" s="13" t="str">
        <f t="shared" si="35"/>
        <v>rokwzgl=26 i lp=106000</v>
      </c>
      <c r="AF100" s="13" t="str">
        <f t="shared" si="35"/>
        <v>rokwzgl=27 i lp=106000</v>
      </c>
      <c r="AG100" s="13" t="str">
        <f t="shared" si="35"/>
        <v>rokwzgl=28 i lp=106000</v>
      </c>
      <c r="AH100" s="13" t="str">
        <f t="shared" si="35"/>
        <v>rokwzgl=29 i lp=106000</v>
      </c>
      <c r="AI100" s="13" t="str">
        <f t="shared" si="35"/>
        <v>rokwzgl=30 i lp=106000</v>
      </c>
      <c r="AJ100" s="13" t="str">
        <f t="shared" si="33"/>
        <v>rokwzgl=31 i lp=106000</v>
      </c>
      <c r="AK100" s="13" t="str">
        <f t="shared" si="33"/>
        <v>rokwzgl=32 i lp=106000</v>
      </c>
      <c r="AL100" s="13" t="str">
        <f t="shared" si="33"/>
        <v>rokwzgl=33 i lp=106000</v>
      </c>
      <c r="AM100" s="13" t="str">
        <f t="shared" si="33"/>
        <v>rokwzgl=34 i lp=106000</v>
      </c>
      <c r="AN100" s="13" t="str">
        <f t="shared" si="32"/>
        <v>rokwzgl=35 i lp=106000</v>
      </c>
      <c r="AO100" s="13" t="str">
        <f t="shared" si="32"/>
        <v>rokwzgl=36 i lp=106000</v>
      </c>
      <c r="AP100" s="13" t="str">
        <f t="shared" si="32"/>
        <v>rokwzgl=37 i lp=106000</v>
      </c>
      <c r="AQ100" s="13" t="str">
        <f t="shared" si="32"/>
        <v>rokwzgl=38 i lp=106000</v>
      </c>
      <c r="AR100" s="13" t="str">
        <f t="shared" si="32"/>
        <v>rokwzgl=39 i lp=106000</v>
      </c>
    </row>
    <row r="101" spans="1:44">
      <c r="A101" s="29">
        <v>107000</v>
      </c>
      <c r="B101" s="12" t="s">
        <v>238</v>
      </c>
      <c r="C101" s="13" t="s">
        <v>181</v>
      </c>
      <c r="D101" s="13" t="str">
        <f t="shared" si="27"/>
        <v>rokwzgl=0 i lp=107000</v>
      </c>
      <c r="E101" s="13" t="str">
        <f t="shared" si="27"/>
        <v>rokwzgl=0 i lp=107000</v>
      </c>
      <c r="F101" s="13" t="str">
        <f t="shared" si="27"/>
        <v>rokwzgl=1 i lp=107000</v>
      </c>
      <c r="G101" s="13" t="str">
        <f t="shared" si="27"/>
        <v>rokwzgl=2 i lp=107000</v>
      </c>
      <c r="H101" s="13" t="str">
        <f t="shared" si="27"/>
        <v>rokwzgl=3 i lp=107000</v>
      </c>
      <c r="I101" s="13" t="str">
        <f t="shared" si="27"/>
        <v>rokwzgl=4 i lp=107000</v>
      </c>
      <c r="J101" s="13" t="str">
        <f t="shared" si="27"/>
        <v>rokwzgl=5 i lp=107000</v>
      </c>
      <c r="K101" s="13" t="str">
        <f t="shared" si="27"/>
        <v>rokwzgl=6 i lp=107000</v>
      </c>
      <c r="L101" s="13" t="str">
        <f t="shared" si="27"/>
        <v>rokwzgl=7 i lp=107000</v>
      </c>
      <c r="M101" s="13" t="str">
        <f t="shared" si="27"/>
        <v>rokwzgl=8 i lp=107000</v>
      </c>
      <c r="N101" s="13" t="str">
        <f t="shared" si="31"/>
        <v>rokwzgl=9 i lp=107000</v>
      </c>
      <c r="O101" s="13" t="str">
        <f t="shared" si="31"/>
        <v>rokwzgl=10 i lp=107000</v>
      </c>
      <c r="P101" s="13" t="str">
        <f t="shared" si="31"/>
        <v>rokwzgl=11 i lp=107000</v>
      </c>
      <c r="Q101" s="13" t="str">
        <f t="shared" si="31"/>
        <v>rokwzgl=12 i lp=107000</v>
      </c>
      <c r="R101" s="13" t="str">
        <f t="shared" si="31"/>
        <v>rokwzgl=13 i lp=107000</v>
      </c>
      <c r="S101" s="13" t="str">
        <f t="shared" si="31"/>
        <v>rokwzgl=14 i lp=107000</v>
      </c>
      <c r="T101" s="13" t="str">
        <f t="shared" si="31"/>
        <v>rokwzgl=15 i lp=107000</v>
      </c>
      <c r="U101" s="13" t="str">
        <f t="shared" si="31"/>
        <v>rokwzgl=16 i lp=107000</v>
      </c>
      <c r="V101" s="13" t="str">
        <f t="shared" si="31"/>
        <v>rokwzgl=17 i lp=107000</v>
      </c>
      <c r="W101" s="13" t="str">
        <f t="shared" si="31"/>
        <v>rokwzgl=18 i lp=107000</v>
      </c>
      <c r="X101" s="13" t="str">
        <f t="shared" ref="X101:AD101" si="36">+"rokwzgl="&amp;X$9&amp;" i lp="&amp;$A101</f>
        <v>rokwzgl=19 i lp=107000</v>
      </c>
      <c r="Y101" s="13" t="str">
        <f t="shared" si="36"/>
        <v>rokwzgl=20 i lp=107000</v>
      </c>
      <c r="Z101" s="13" t="str">
        <f t="shared" si="36"/>
        <v>rokwzgl=21 i lp=107000</v>
      </c>
      <c r="AA101" s="13" t="str">
        <f t="shared" si="36"/>
        <v>rokwzgl=22 i lp=107000</v>
      </c>
      <c r="AB101" s="13" t="str">
        <f t="shared" si="36"/>
        <v>rokwzgl=23 i lp=107000</v>
      </c>
      <c r="AC101" s="13" t="str">
        <f t="shared" si="36"/>
        <v>rokwzgl=24 i lp=107000</v>
      </c>
      <c r="AD101" s="13" t="str">
        <f t="shared" si="36"/>
        <v>rokwzgl=25 i lp=107000</v>
      </c>
      <c r="AE101" s="13" t="str">
        <f t="shared" ref="X101:AM117" si="37">+"rokwzgl="&amp;AE$9&amp;" i lp="&amp;$A101</f>
        <v>rokwzgl=26 i lp=107000</v>
      </c>
      <c r="AF101" s="13" t="str">
        <f t="shared" si="37"/>
        <v>rokwzgl=27 i lp=107000</v>
      </c>
      <c r="AG101" s="13" t="str">
        <f t="shared" si="37"/>
        <v>rokwzgl=28 i lp=107000</v>
      </c>
      <c r="AH101" s="13" t="str">
        <f t="shared" si="37"/>
        <v>rokwzgl=29 i lp=107000</v>
      </c>
      <c r="AI101" s="13" t="str">
        <f t="shared" si="37"/>
        <v>rokwzgl=30 i lp=107000</v>
      </c>
      <c r="AJ101" s="13" t="str">
        <f t="shared" si="37"/>
        <v>rokwzgl=31 i lp=107000</v>
      </c>
      <c r="AK101" s="13" t="str">
        <f t="shared" si="37"/>
        <v>rokwzgl=32 i lp=107000</v>
      </c>
      <c r="AL101" s="13" t="str">
        <f t="shared" si="37"/>
        <v>rokwzgl=33 i lp=107000</v>
      </c>
      <c r="AM101" s="13" t="str">
        <f t="shared" si="37"/>
        <v>rokwzgl=34 i lp=107000</v>
      </c>
      <c r="AN101" s="13" t="str">
        <f t="shared" si="32"/>
        <v>rokwzgl=35 i lp=107000</v>
      </c>
      <c r="AO101" s="13" t="str">
        <f t="shared" si="32"/>
        <v>rokwzgl=36 i lp=107000</v>
      </c>
      <c r="AP101" s="13" t="str">
        <f t="shared" si="32"/>
        <v>rokwzgl=37 i lp=107000</v>
      </c>
      <c r="AQ101" s="13" t="str">
        <f t="shared" si="32"/>
        <v>rokwzgl=38 i lp=107000</v>
      </c>
      <c r="AR101" s="13" t="str">
        <f t="shared" si="32"/>
        <v>rokwzgl=39 i lp=107000</v>
      </c>
    </row>
    <row r="102" spans="1:44">
      <c r="A102" s="29">
        <v>107100</v>
      </c>
      <c r="B102" s="12" t="s">
        <v>221</v>
      </c>
      <c r="C102" s="13" t="s">
        <v>182</v>
      </c>
      <c r="D102" s="13" t="str">
        <f t="shared" si="27"/>
        <v>rokwzgl=0 i lp=107100</v>
      </c>
      <c r="E102" s="13" t="str">
        <f t="shared" si="27"/>
        <v>rokwzgl=0 i lp=107100</v>
      </c>
      <c r="F102" s="13" t="str">
        <f t="shared" si="27"/>
        <v>rokwzgl=1 i lp=107100</v>
      </c>
      <c r="G102" s="13" t="str">
        <f t="shared" si="27"/>
        <v>rokwzgl=2 i lp=107100</v>
      </c>
      <c r="H102" s="13" t="str">
        <f t="shared" si="27"/>
        <v>rokwzgl=3 i lp=107100</v>
      </c>
      <c r="I102" s="13" t="str">
        <f t="shared" si="27"/>
        <v>rokwzgl=4 i lp=107100</v>
      </c>
      <c r="J102" s="13" t="str">
        <f t="shared" si="27"/>
        <v>rokwzgl=5 i lp=107100</v>
      </c>
      <c r="K102" s="13" t="str">
        <f t="shared" si="27"/>
        <v>rokwzgl=6 i lp=107100</v>
      </c>
      <c r="L102" s="13" t="str">
        <f t="shared" si="27"/>
        <v>rokwzgl=7 i lp=107100</v>
      </c>
      <c r="M102" s="13" t="str">
        <f t="shared" si="27"/>
        <v>rokwzgl=8 i lp=107100</v>
      </c>
      <c r="N102" s="13" t="str">
        <f t="shared" si="31"/>
        <v>rokwzgl=9 i lp=107100</v>
      </c>
      <c r="O102" s="13" t="str">
        <f t="shared" si="31"/>
        <v>rokwzgl=10 i lp=107100</v>
      </c>
      <c r="P102" s="13" t="str">
        <f t="shared" si="31"/>
        <v>rokwzgl=11 i lp=107100</v>
      </c>
      <c r="Q102" s="13" t="str">
        <f t="shared" si="31"/>
        <v>rokwzgl=12 i lp=107100</v>
      </c>
      <c r="R102" s="13" t="str">
        <f t="shared" si="31"/>
        <v>rokwzgl=13 i lp=107100</v>
      </c>
      <c r="S102" s="13" t="str">
        <f t="shared" si="31"/>
        <v>rokwzgl=14 i lp=107100</v>
      </c>
      <c r="T102" s="13" t="str">
        <f t="shared" si="31"/>
        <v>rokwzgl=15 i lp=107100</v>
      </c>
      <c r="U102" s="13" t="str">
        <f t="shared" si="31"/>
        <v>rokwzgl=16 i lp=107100</v>
      </c>
      <c r="V102" s="13" t="str">
        <f t="shared" si="31"/>
        <v>rokwzgl=17 i lp=107100</v>
      </c>
      <c r="W102" s="13" t="str">
        <f t="shared" si="31"/>
        <v>rokwzgl=18 i lp=107100</v>
      </c>
      <c r="X102" s="13" t="str">
        <f t="shared" si="37"/>
        <v>rokwzgl=19 i lp=107100</v>
      </c>
      <c r="Y102" s="13" t="str">
        <f t="shared" si="37"/>
        <v>rokwzgl=20 i lp=107100</v>
      </c>
      <c r="Z102" s="13" t="str">
        <f t="shared" si="37"/>
        <v>rokwzgl=21 i lp=107100</v>
      </c>
      <c r="AA102" s="13" t="str">
        <f t="shared" si="37"/>
        <v>rokwzgl=22 i lp=107100</v>
      </c>
      <c r="AB102" s="13" t="str">
        <f t="shared" si="37"/>
        <v>rokwzgl=23 i lp=107100</v>
      </c>
      <c r="AC102" s="13" t="str">
        <f t="shared" si="37"/>
        <v>rokwzgl=24 i lp=107100</v>
      </c>
      <c r="AD102" s="13" t="str">
        <f t="shared" si="37"/>
        <v>rokwzgl=25 i lp=107100</v>
      </c>
      <c r="AE102" s="13" t="str">
        <f t="shared" si="37"/>
        <v>rokwzgl=26 i lp=107100</v>
      </c>
      <c r="AF102" s="13" t="str">
        <f t="shared" si="37"/>
        <v>rokwzgl=27 i lp=107100</v>
      </c>
      <c r="AG102" s="13" t="str">
        <f t="shared" si="37"/>
        <v>rokwzgl=28 i lp=107100</v>
      </c>
      <c r="AH102" s="13" t="str">
        <f t="shared" si="37"/>
        <v>rokwzgl=29 i lp=107100</v>
      </c>
      <c r="AI102" s="13" t="str">
        <f t="shared" si="37"/>
        <v>rokwzgl=30 i lp=107100</v>
      </c>
      <c r="AJ102" s="13" t="str">
        <f t="shared" si="37"/>
        <v>rokwzgl=31 i lp=107100</v>
      </c>
      <c r="AK102" s="13" t="str">
        <f t="shared" si="37"/>
        <v>rokwzgl=32 i lp=107100</v>
      </c>
      <c r="AL102" s="13" t="str">
        <f t="shared" si="37"/>
        <v>rokwzgl=33 i lp=107100</v>
      </c>
      <c r="AM102" s="13" t="str">
        <f t="shared" si="37"/>
        <v>rokwzgl=34 i lp=107100</v>
      </c>
      <c r="AN102" s="13" t="str">
        <f t="shared" si="32"/>
        <v>rokwzgl=35 i lp=107100</v>
      </c>
      <c r="AO102" s="13" t="str">
        <f t="shared" si="32"/>
        <v>rokwzgl=36 i lp=107100</v>
      </c>
      <c r="AP102" s="13" t="str">
        <f t="shared" si="32"/>
        <v>rokwzgl=37 i lp=107100</v>
      </c>
      <c r="AQ102" s="13" t="str">
        <f t="shared" si="32"/>
        <v>rokwzgl=38 i lp=107100</v>
      </c>
      <c r="AR102" s="13" t="str">
        <f t="shared" si="32"/>
        <v>rokwzgl=39 i lp=107100</v>
      </c>
    </row>
    <row r="103" spans="1:44">
      <c r="A103" s="29">
        <v>107200</v>
      </c>
      <c r="B103" s="12" t="s">
        <v>222</v>
      </c>
      <c r="C103" s="13" t="s">
        <v>183</v>
      </c>
      <c r="D103" s="13" t="str">
        <f t="shared" si="27"/>
        <v>rokwzgl=0 i lp=107200</v>
      </c>
      <c r="E103" s="13" t="str">
        <f t="shared" si="27"/>
        <v>rokwzgl=0 i lp=107200</v>
      </c>
      <c r="F103" s="13" t="str">
        <f t="shared" si="27"/>
        <v>rokwzgl=1 i lp=107200</v>
      </c>
      <c r="G103" s="13" t="str">
        <f t="shared" si="27"/>
        <v>rokwzgl=2 i lp=107200</v>
      </c>
      <c r="H103" s="13" t="str">
        <f t="shared" si="27"/>
        <v>rokwzgl=3 i lp=107200</v>
      </c>
      <c r="I103" s="13" t="str">
        <f t="shared" si="27"/>
        <v>rokwzgl=4 i lp=107200</v>
      </c>
      <c r="J103" s="13" t="str">
        <f t="shared" si="27"/>
        <v>rokwzgl=5 i lp=107200</v>
      </c>
      <c r="K103" s="13" t="str">
        <f t="shared" si="27"/>
        <v>rokwzgl=6 i lp=107200</v>
      </c>
      <c r="L103" s="13" t="str">
        <f t="shared" si="27"/>
        <v>rokwzgl=7 i lp=107200</v>
      </c>
      <c r="M103" s="13" t="str">
        <f t="shared" ref="D103:M118" si="38">+"rokwzgl="&amp;M$9&amp;" i lp="&amp;$A103</f>
        <v>rokwzgl=8 i lp=107200</v>
      </c>
      <c r="N103" s="13" t="str">
        <f t="shared" si="31"/>
        <v>rokwzgl=9 i lp=107200</v>
      </c>
      <c r="O103" s="13" t="str">
        <f t="shared" si="31"/>
        <v>rokwzgl=10 i lp=107200</v>
      </c>
      <c r="P103" s="13" t="str">
        <f t="shared" si="31"/>
        <v>rokwzgl=11 i lp=107200</v>
      </c>
      <c r="Q103" s="13" t="str">
        <f t="shared" si="31"/>
        <v>rokwzgl=12 i lp=107200</v>
      </c>
      <c r="R103" s="13" t="str">
        <f t="shared" si="31"/>
        <v>rokwzgl=13 i lp=107200</v>
      </c>
      <c r="S103" s="13" t="str">
        <f t="shared" si="31"/>
        <v>rokwzgl=14 i lp=107200</v>
      </c>
      <c r="T103" s="13" t="str">
        <f t="shared" si="31"/>
        <v>rokwzgl=15 i lp=107200</v>
      </c>
      <c r="U103" s="13" t="str">
        <f t="shared" si="31"/>
        <v>rokwzgl=16 i lp=107200</v>
      </c>
      <c r="V103" s="13" t="str">
        <f t="shared" si="31"/>
        <v>rokwzgl=17 i lp=107200</v>
      </c>
      <c r="W103" s="13" t="str">
        <f t="shared" si="31"/>
        <v>rokwzgl=18 i lp=107200</v>
      </c>
      <c r="X103" s="13" t="str">
        <f t="shared" si="37"/>
        <v>rokwzgl=19 i lp=107200</v>
      </c>
      <c r="Y103" s="13" t="str">
        <f t="shared" si="37"/>
        <v>rokwzgl=20 i lp=107200</v>
      </c>
      <c r="Z103" s="13" t="str">
        <f t="shared" si="37"/>
        <v>rokwzgl=21 i lp=107200</v>
      </c>
      <c r="AA103" s="13" t="str">
        <f t="shared" si="37"/>
        <v>rokwzgl=22 i lp=107200</v>
      </c>
      <c r="AB103" s="13" t="str">
        <f t="shared" si="37"/>
        <v>rokwzgl=23 i lp=107200</v>
      </c>
      <c r="AC103" s="13" t="str">
        <f t="shared" si="37"/>
        <v>rokwzgl=24 i lp=107200</v>
      </c>
      <c r="AD103" s="13" t="str">
        <f t="shared" si="37"/>
        <v>rokwzgl=25 i lp=107200</v>
      </c>
      <c r="AE103" s="13" t="str">
        <f t="shared" si="37"/>
        <v>rokwzgl=26 i lp=107200</v>
      </c>
      <c r="AF103" s="13" t="str">
        <f t="shared" si="37"/>
        <v>rokwzgl=27 i lp=107200</v>
      </c>
      <c r="AG103" s="13" t="str">
        <f t="shared" si="37"/>
        <v>rokwzgl=28 i lp=107200</v>
      </c>
      <c r="AH103" s="13" t="str">
        <f t="shared" si="37"/>
        <v>rokwzgl=29 i lp=107200</v>
      </c>
      <c r="AI103" s="13" t="str">
        <f t="shared" si="37"/>
        <v>rokwzgl=30 i lp=107200</v>
      </c>
      <c r="AJ103" s="13" t="str">
        <f t="shared" si="37"/>
        <v>rokwzgl=31 i lp=107200</v>
      </c>
      <c r="AK103" s="13" t="str">
        <f t="shared" si="37"/>
        <v>rokwzgl=32 i lp=107200</v>
      </c>
      <c r="AL103" s="13" t="str">
        <f t="shared" si="37"/>
        <v>rokwzgl=33 i lp=107200</v>
      </c>
      <c r="AM103" s="13" t="str">
        <f t="shared" si="37"/>
        <v>rokwzgl=34 i lp=107200</v>
      </c>
      <c r="AN103" s="13" t="str">
        <f t="shared" si="32"/>
        <v>rokwzgl=35 i lp=107200</v>
      </c>
      <c r="AO103" s="13" t="str">
        <f t="shared" si="32"/>
        <v>rokwzgl=36 i lp=107200</v>
      </c>
      <c r="AP103" s="13" t="str">
        <f t="shared" si="32"/>
        <v>rokwzgl=37 i lp=107200</v>
      </c>
      <c r="AQ103" s="13" t="str">
        <f t="shared" si="32"/>
        <v>rokwzgl=38 i lp=107200</v>
      </c>
      <c r="AR103" s="13" t="str">
        <f t="shared" si="32"/>
        <v>rokwzgl=39 i lp=107200</v>
      </c>
    </row>
    <row r="104" spans="1:44">
      <c r="A104" s="29">
        <v>107210</v>
      </c>
      <c r="B104" s="12" t="s">
        <v>223</v>
      </c>
      <c r="C104" s="13" t="s">
        <v>184</v>
      </c>
      <c r="D104" s="13" t="str">
        <f t="shared" si="38"/>
        <v>rokwzgl=0 i lp=107210</v>
      </c>
      <c r="E104" s="13" t="str">
        <f t="shared" si="38"/>
        <v>rokwzgl=0 i lp=107210</v>
      </c>
      <c r="F104" s="13" t="str">
        <f t="shared" si="38"/>
        <v>rokwzgl=1 i lp=107210</v>
      </c>
      <c r="G104" s="13" t="str">
        <f t="shared" si="38"/>
        <v>rokwzgl=2 i lp=107210</v>
      </c>
      <c r="H104" s="13" t="str">
        <f t="shared" si="38"/>
        <v>rokwzgl=3 i lp=107210</v>
      </c>
      <c r="I104" s="13" t="str">
        <f t="shared" si="38"/>
        <v>rokwzgl=4 i lp=107210</v>
      </c>
      <c r="J104" s="13" t="str">
        <f t="shared" si="38"/>
        <v>rokwzgl=5 i lp=107210</v>
      </c>
      <c r="K104" s="13" t="str">
        <f t="shared" si="38"/>
        <v>rokwzgl=6 i lp=107210</v>
      </c>
      <c r="L104" s="13" t="str">
        <f t="shared" si="38"/>
        <v>rokwzgl=7 i lp=107210</v>
      </c>
      <c r="M104" s="13" t="str">
        <f t="shared" si="38"/>
        <v>rokwzgl=8 i lp=107210</v>
      </c>
      <c r="N104" s="13" t="str">
        <f t="shared" si="31"/>
        <v>rokwzgl=9 i lp=107210</v>
      </c>
      <c r="O104" s="13" t="str">
        <f t="shared" si="31"/>
        <v>rokwzgl=10 i lp=107210</v>
      </c>
      <c r="P104" s="13" t="str">
        <f t="shared" si="31"/>
        <v>rokwzgl=11 i lp=107210</v>
      </c>
      <c r="Q104" s="13" t="str">
        <f t="shared" si="31"/>
        <v>rokwzgl=12 i lp=107210</v>
      </c>
      <c r="R104" s="13" t="str">
        <f t="shared" si="31"/>
        <v>rokwzgl=13 i lp=107210</v>
      </c>
      <c r="S104" s="13" t="str">
        <f t="shared" si="31"/>
        <v>rokwzgl=14 i lp=107210</v>
      </c>
      <c r="T104" s="13" t="str">
        <f t="shared" si="31"/>
        <v>rokwzgl=15 i lp=107210</v>
      </c>
      <c r="U104" s="13" t="str">
        <f t="shared" si="31"/>
        <v>rokwzgl=16 i lp=107210</v>
      </c>
      <c r="V104" s="13" t="str">
        <f t="shared" si="31"/>
        <v>rokwzgl=17 i lp=107210</v>
      </c>
      <c r="W104" s="13" t="str">
        <f t="shared" si="31"/>
        <v>rokwzgl=18 i lp=107210</v>
      </c>
      <c r="X104" s="13" t="str">
        <f t="shared" si="37"/>
        <v>rokwzgl=19 i lp=107210</v>
      </c>
      <c r="Y104" s="13" t="str">
        <f t="shared" si="37"/>
        <v>rokwzgl=20 i lp=107210</v>
      </c>
      <c r="Z104" s="13" t="str">
        <f t="shared" si="37"/>
        <v>rokwzgl=21 i lp=107210</v>
      </c>
      <c r="AA104" s="13" t="str">
        <f t="shared" si="37"/>
        <v>rokwzgl=22 i lp=107210</v>
      </c>
      <c r="AB104" s="13" t="str">
        <f t="shared" si="37"/>
        <v>rokwzgl=23 i lp=107210</v>
      </c>
      <c r="AC104" s="13" t="str">
        <f t="shared" si="37"/>
        <v>rokwzgl=24 i lp=107210</v>
      </c>
      <c r="AD104" s="13" t="str">
        <f t="shared" si="37"/>
        <v>rokwzgl=25 i lp=107210</v>
      </c>
      <c r="AE104" s="13" t="str">
        <f t="shared" si="37"/>
        <v>rokwzgl=26 i lp=107210</v>
      </c>
      <c r="AF104" s="13" t="str">
        <f t="shared" si="37"/>
        <v>rokwzgl=27 i lp=107210</v>
      </c>
      <c r="AG104" s="13" t="str">
        <f t="shared" si="37"/>
        <v>rokwzgl=28 i lp=107210</v>
      </c>
      <c r="AH104" s="13" t="str">
        <f t="shared" si="37"/>
        <v>rokwzgl=29 i lp=107210</v>
      </c>
      <c r="AI104" s="13" t="str">
        <f t="shared" si="37"/>
        <v>rokwzgl=30 i lp=107210</v>
      </c>
      <c r="AJ104" s="13" t="str">
        <f t="shared" si="37"/>
        <v>rokwzgl=31 i lp=107210</v>
      </c>
      <c r="AK104" s="13" t="str">
        <f t="shared" si="37"/>
        <v>rokwzgl=32 i lp=107210</v>
      </c>
      <c r="AL104" s="13" t="str">
        <f t="shared" si="37"/>
        <v>rokwzgl=33 i lp=107210</v>
      </c>
      <c r="AM104" s="13" t="str">
        <f t="shared" si="37"/>
        <v>rokwzgl=34 i lp=107210</v>
      </c>
      <c r="AN104" s="13" t="str">
        <f t="shared" si="32"/>
        <v>rokwzgl=35 i lp=107210</v>
      </c>
      <c r="AO104" s="13" t="str">
        <f t="shared" si="32"/>
        <v>rokwzgl=36 i lp=107210</v>
      </c>
      <c r="AP104" s="13" t="str">
        <f t="shared" si="32"/>
        <v>rokwzgl=37 i lp=107210</v>
      </c>
      <c r="AQ104" s="13" t="str">
        <f t="shared" si="32"/>
        <v>rokwzgl=38 i lp=107210</v>
      </c>
      <c r="AR104" s="13" t="str">
        <f t="shared" si="32"/>
        <v>rokwzgl=39 i lp=107210</v>
      </c>
    </row>
    <row r="105" spans="1:44">
      <c r="A105" s="29">
        <v>107211</v>
      </c>
      <c r="B105" s="12" t="s">
        <v>224</v>
      </c>
      <c r="C105" s="13" t="s">
        <v>185</v>
      </c>
      <c r="D105" s="13" t="str">
        <f t="shared" si="38"/>
        <v>rokwzgl=0 i lp=107211</v>
      </c>
      <c r="E105" s="13" t="str">
        <f t="shared" si="38"/>
        <v>rokwzgl=0 i lp=107211</v>
      </c>
      <c r="F105" s="13" t="str">
        <f t="shared" si="38"/>
        <v>rokwzgl=1 i lp=107211</v>
      </c>
      <c r="G105" s="13" t="str">
        <f t="shared" si="38"/>
        <v>rokwzgl=2 i lp=107211</v>
      </c>
      <c r="H105" s="13" t="str">
        <f t="shared" si="38"/>
        <v>rokwzgl=3 i lp=107211</v>
      </c>
      <c r="I105" s="13" t="str">
        <f t="shared" si="38"/>
        <v>rokwzgl=4 i lp=107211</v>
      </c>
      <c r="J105" s="13" t="str">
        <f t="shared" si="38"/>
        <v>rokwzgl=5 i lp=107211</v>
      </c>
      <c r="K105" s="13" t="str">
        <f t="shared" si="38"/>
        <v>rokwzgl=6 i lp=107211</v>
      </c>
      <c r="L105" s="13" t="str">
        <f t="shared" si="38"/>
        <v>rokwzgl=7 i lp=107211</v>
      </c>
      <c r="M105" s="13" t="str">
        <f t="shared" si="38"/>
        <v>rokwzgl=8 i lp=107211</v>
      </c>
      <c r="N105" s="13" t="str">
        <f t="shared" si="31"/>
        <v>rokwzgl=9 i lp=107211</v>
      </c>
      <c r="O105" s="13" t="str">
        <f t="shared" ref="N105:W118" si="39">+"rokwzgl="&amp;O$9&amp;" i lp="&amp;$A105</f>
        <v>rokwzgl=10 i lp=107211</v>
      </c>
      <c r="P105" s="13" t="str">
        <f t="shared" si="39"/>
        <v>rokwzgl=11 i lp=107211</v>
      </c>
      <c r="Q105" s="13" t="str">
        <f t="shared" si="39"/>
        <v>rokwzgl=12 i lp=107211</v>
      </c>
      <c r="R105" s="13" t="str">
        <f t="shared" si="39"/>
        <v>rokwzgl=13 i lp=107211</v>
      </c>
      <c r="S105" s="13" t="str">
        <f t="shared" si="39"/>
        <v>rokwzgl=14 i lp=107211</v>
      </c>
      <c r="T105" s="13" t="str">
        <f t="shared" si="39"/>
        <v>rokwzgl=15 i lp=107211</v>
      </c>
      <c r="U105" s="13" t="str">
        <f t="shared" si="39"/>
        <v>rokwzgl=16 i lp=107211</v>
      </c>
      <c r="V105" s="13" t="str">
        <f t="shared" si="39"/>
        <v>rokwzgl=17 i lp=107211</v>
      </c>
      <c r="W105" s="13" t="str">
        <f t="shared" si="39"/>
        <v>rokwzgl=18 i lp=107211</v>
      </c>
      <c r="X105" s="13" t="str">
        <f t="shared" si="37"/>
        <v>rokwzgl=19 i lp=107211</v>
      </c>
      <c r="Y105" s="13" t="str">
        <f t="shared" si="37"/>
        <v>rokwzgl=20 i lp=107211</v>
      </c>
      <c r="Z105" s="13" t="str">
        <f t="shared" si="37"/>
        <v>rokwzgl=21 i lp=107211</v>
      </c>
      <c r="AA105" s="13" t="str">
        <f t="shared" si="37"/>
        <v>rokwzgl=22 i lp=107211</v>
      </c>
      <c r="AB105" s="13" t="str">
        <f t="shared" si="37"/>
        <v>rokwzgl=23 i lp=107211</v>
      </c>
      <c r="AC105" s="13" t="str">
        <f t="shared" si="37"/>
        <v>rokwzgl=24 i lp=107211</v>
      </c>
      <c r="AD105" s="13" t="str">
        <f t="shared" si="37"/>
        <v>rokwzgl=25 i lp=107211</v>
      </c>
      <c r="AE105" s="13" t="str">
        <f t="shared" si="37"/>
        <v>rokwzgl=26 i lp=107211</v>
      </c>
      <c r="AF105" s="13" t="str">
        <f t="shared" si="37"/>
        <v>rokwzgl=27 i lp=107211</v>
      </c>
      <c r="AG105" s="13" t="str">
        <f t="shared" si="37"/>
        <v>rokwzgl=28 i lp=107211</v>
      </c>
      <c r="AH105" s="13" t="str">
        <f t="shared" si="37"/>
        <v>rokwzgl=29 i lp=107211</v>
      </c>
      <c r="AI105" s="13" t="str">
        <f t="shared" si="37"/>
        <v>rokwzgl=30 i lp=107211</v>
      </c>
      <c r="AJ105" s="13" t="str">
        <f t="shared" si="37"/>
        <v>rokwzgl=31 i lp=107211</v>
      </c>
      <c r="AK105" s="13" t="str">
        <f t="shared" si="37"/>
        <v>rokwzgl=32 i lp=107211</v>
      </c>
      <c r="AL105" s="13" t="str">
        <f t="shared" si="37"/>
        <v>rokwzgl=33 i lp=107211</v>
      </c>
      <c r="AM105" s="13" t="str">
        <f t="shared" si="37"/>
        <v>rokwzgl=34 i lp=107211</v>
      </c>
      <c r="AN105" s="13" t="str">
        <f t="shared" si="32"/>
        <v>rokwzgl=35 i lp=107211</v>
      </c>
      <c r="AO105" s="13" t="str">
        <f t="shared" si="32"/>
        <v>rokwzgl=36 i lp=107211</v>
      </c>
      <c r="AP105" s="13" t="str">
        <f t="shared" si="32"/>
        <v>rokwzgl=37 i lp=107211</v>
      </c>
      <c r="AQ105" s="13" t="str">
        <f t="shared" si="32"/>
        <v>rokwzgl=38 i lp=107211</v>
      </c>
      <c r="AR105" s="13" t="str">
        <f t="shared" si="32"/>
        <v>rokwzgl=39 i lp=107211</v>
      </c>
    </row>
    <row r="106" spans="1:44">
      <c r="A106" s="29">
        <v>107300</v>
      </c>
      <c r="B106" s="12" t="s">
        <v>225</v>
      </c>
      <c r="C106" s="13" t="s">
        <v>186</v>
      </c>
      <c r="D106" s="13" t="str">
        <f t="shared" si="38"/>
        <v>rokwzgl=0 i lp=107300</v>
      </c>
      <c r="E106" s="13" t="str">
        <f t="shared" si="38"/>
        <v>rokwzgl=0 i lp=107300</v>
      </c>
      <c r="F106" s="13" t="str">
        <f t="shared" si="38"/>
        <v>rokwzgl=1 i lp=107300</v>
      </c>
      <c r="G106" s="13" t="str">
        <f t="shared" si="38"/>
        <v>rokwzgl=2 i lp=107300</v>
      </c>
      <c r="H106" s="13" t="str">
        <f t="shared" si="38"/>
        <v>rokwzgl=3 i lp=107300</v>
      </c>
      <c r="I106" s="13" t="str">
        <f t="shared" si="38"/>
        <v>rokwzgl=4 i lp=107300</v>
      </c>
      <c r="J106" s="13" t="str">
        <f t="shared" si="38"/>
        <v>rokwzgl=5 i lp=107300</v>
      </c>
      <c r="K106" s="13" t="str">
        <f t="shared" si="38"/>
        <v>rokwzgl=6 i lp=107300</v>
      </c>
      <c r="L106" s="13" t="str">
        <f t="shared" si="38"/>
        <v>rokwzgl=7 i lp=107300</v>
      </c>
      <c r="M106" s="13" t="str">
        <f t="shared" si="38"/>
        <v>rokwzgl=8 i lp=107300</v>
      </c>
      <c r="N106" s="13" t="str">
        <f t="shared" si="39"/>
        <v>rokwzgl=9 i lp=107300</v>
      </c>
      <c r="O106" s="13" t="str">
        <f t="shared" si="39"/>
        <v>rokwzgl=10 i lp=107300</v>
      </c>
      <c r="P106" s="13" t="str">
        <f t="shared" si="39"/>
        <v>rokwzgl=11 i lp=107300</v>
      </c>
      <c r="Q106" s="13" t="str">
        <f t="shared" si="39"/>
        <v>rokwzgl=12 i lp=107300</v>
      </c>
      <c r="R106" s="13" t="str">
        <f t="shared" si="39"/>
        <v>rokwzgl=13 i lp=107300</v>
      </c>
      <c r="S106" s="13" t="str">
        <f t="shared" si="39"/>
        <v>rokwzgl=14 i lp=107300</v>
      </c>
      <c r="T106" s="13" t="str">
        <f t="shared" si="39"/>
        <v>rokwzgl=15 i lp=107300</v>
      </c>
      <c r="U106" s="13" t="str">
        <f t="shared" si="39"/>
        <v>rokwzgl=16 i lp=107300</v>
      </c>
      <c r="V106" s="13" t="str">
        <f t="shared" si="39"/>
        <v>rokwzgl=17 i lp=107300</v>
      </c>
      <c r="W106" s="13" t="str">
        <f t="shared" si="39"/>
        <v>rokwzgl=18 i lp=107300</v>
      </c>
      <c r="X106" s="13" t="str">
        <f t="shared" si="37"/>
        <v>rokwzgl=19 i lp=107300</v>
      </c>
      <c r="Y106" s="13" t="str">
        <f t="shared" si="37"/>
        <v>rokwzgl=20 i lp=107300</v>
      </c>
      <c r="Z106" s="13" t="str">
        <f t="shared" si="37"/>
        <v>rokwzgl=21 i lp=107300</v>
      </c>
      <c r="AA106" s="13" t="str">
        <f t="shared" si="37"/>
        <v>rokwzgl=22 i lp=107300</v>
      </c>
      <c r="AB106" s="13" t="str">
        <f t="shared" si="37"/>
        <v>rokwzgl=23 i lp=107300</v>
      </c>
      <c r="AC106" s="13" t="str">
        <f t="shared" si="37"/>
        <v>rokwzgl=24 i lp=107300</v>
      </c>
      <c r="AD106" s="13" t="str">
        <f t="shared" si="37"/>
        <v>rokwzgl=25 i lp=107300</v>
      </c>
      <c r="AE106" s="13" t="str">
        <f t="shared" si="37"/>
        <v>rokwzgl=26 i lp=107300</v>
      </c>
      <c r="AF106" s="13" t="str">
        <f t="shared" si="37"/>
        <v>rokwzgl=27 i lp=107300</v>
      </c>
      <c r="AG106" s="13" t="str">
        <f t="shared" si="37"/>
        <v>rokwzgl=28 i lp=107300</v>
      </c>
      <c r="AH106" s="13" t="str">
        <f t="shared" si="37"/>
        <v>rokwzgl=29 i lp=107300</v>
      </c>
      <c r="AI106" s="13" t="str">
        <f t="shared" si="37"/>
        <v>rokwzgl=30 i lp=107300</v>
      </c>
      <c r="AJ106" s="13" t="str">
        <f t="shared" si="37"/>
        <v>rokwzgl=31 i lp=107300</v>
      </c>
      <c r="AK106" s="13" t="str">
        <f t="shared" si="37"/>
        <v>rokwzgl=32 i lp=107300</v>
      </c>
      <c r="AL106" s="13" t="str">
        <f t="shared" si="37"/>
        <v>rokwzgl=33 i lp=107300</v>
      </c>
      <c r="AM106" s="13" t="str">
        <f t="shared" si="37"/>
        <v>rokwzgl=34 i lp=107300</v>
      </c>
      <c r="AN106" s="13" t="str">
        <f t="shared" si="32"/>
        <v>rokwzgl=35 i lp=107300</v>
      </c>
      <c r="AO106" s="13" t="str">
        <f t="shared" si="32"/>
        <v>rokwzgl=36 i lp=107300</v>
      </c>
      <c r="AP106" s="13" t="str">
        <f t="shared" si="32"/>
        <v>rokwzgl=37 i lp=107300</v>
      </c>
      <c r="AQ106" s="13" t="str">
        <f t="shared" si="32"/>
        <v>rokwzgl=38 i lp=107300</v>
      </c>
      <c r="AR106" s="13" t="str">
        <f t="shared" si="32"/>
        <v>rokwzgl=39 i lp=107300</v>
      </c>
    </row>
    <row r="107" spans="1:44">
      <c r="A107" s="29">
        <v>108000</v>
      </c>
      <c r="B107" s="12" t="s">
        <v>239</v>
      </c>
      <c r="C107" s="13" t="s">
        <v>187</v>
      </c>
      <c r="D107" s="13" t="str">
        <f t="shared" si="38"/>
        <v>rokwzgl=0 i lp=108000</v>
      </c>
      <c r="E107" s="13" t="str">
        <f t="shared" si="38"/>
        <v>rokwzgl=0 i lp=108000</v>
      </c>
      <c r="F107" s="13" t="str">
        <f t="shared" si="38"/>
        <v>rokwzgl=1 i lp=108000</v>
      </c>
      <c r="G107" s="13" t="str">
        <f t="shared" si="38"/>
        <v>rokwzgl=2 i lp=108000</v>
      </c>
      <c r="H107" s="13" t="str">
        <f t="shared" si="38"/>
        <v>rokwzgl=3 i lp=108000</v>
      </c>
      <c r="I107" s="13" t="str">
        <f t="shared" si="38"/>
        <v>rokwzgl=4 i lp=108000</v>
      </c>
      <c r="J107" s="13" t="str">
        <f t="shared" si="38"/>
        <v>rokwzgl=5 i lp=108000</v>
      </c>
      <c r="K107" s="13" t="str">
        <f t="shared" si="38"/>
        <v>rokwzgl=6 i lp=108000</v>
      </c>
      <c r="L107" s="13" t="str">
        <f t="shared" si="38"/>
        <v>rokwzgl=7 i lp=108000</v>
      </c>
      <c r="M107" s="13" t="str">
        <f t="shared" si="38"/>
        <v>rokwzgl=8 i lp=108000</v>
      </c>
      <c r="N107" s="13" t="str">
        <f t="shared" si="39"/>
        <v>rokwzgl=9 i lp=108000</v>
      </c>
      <c r="O107" s="13" t="str">
        <f t="shared" si="39"/>
        <v>rokwzgl=10 i lp=108000</v>
      </c>
      <c r="P107" s="13" t="str">
        <f t="shared" si="39"/>
        <v>rokwzgl=11 i lp=108000</v>
      </c>
      <c r="Q107" s="13" t="str">
        <f t="shared" si="39"/>
        <v>rokwzgl=12 i lp=108000</v>
      </c>
      <c r="R107" s="13" t="str">
        <f t="shared" si="39"/>
        <v>rokwzgl=13 i lp=108000</v>
      </c>
      <c r="S107" s="13" t="str">
        <f t="shared" si="39"/>
        <v>rokwzgl=14 i lp=108000</v>
      </c>
      <c r="T107" s="13" t="str">
        <f t="shared" si="39"/>
        <v>rokwzgl=15 i lp=108000</v>
      </c>
      <c r="U107" s="13" t="str">
        <f t="shared" si="39"/>
        <v>rokwzgl=16 i lp=108000</v>
      </c>
      <c r="V107" s="13" t="str">
        <f t="shared" si="39"/>
        <v>rokwzgl=17 i lp=108000</v>
      </c>
      <c r="W107" s="13" t="str">
        <f t="shared" si="39"/>
        <v>rokwzgl=18 i lp=108000</v>
      </c>
      <c r="X107" s="13" t="str">
        <f t="shared" si="37"/>
        <v>rokwzgl=19 i lp=108000</v>
      </c>
      <c r="Y107" s="13" t="str">
        <f t="shared" si="37"/>
        <v>rokwzgl=20 i lp=108000</v>
      </c>
      <c r="Z107" s="13" t="str">
        <f t="shared" si="37"/>
        <v>rokwzgl=21 i lp=108000</v>
      </c>
      <c r="AA107" s="13" t="str">
        <f t="shared" si="37"/>
        <v>rokwzgl=22 i lp=108000</v>
      </c>
      <c r="AB107" s="13" t="str">
        <f t="shared" si="37"/>
        <v>rokwzgl=23 i lp=108000</v>
      </c>
      <c r="AC107" s="13" t="str">
        <f t="shared" si="37"/>
        <v>rokwzgl=24 i lp=108000</v>
      </c>
      <c r="AD107" s="13" t="str">
        <f t="shared" si="37"/>
        <v>rokwzgl=25 i lp=108000</v>
      </c>
      <c r="AE107" s="13" t="str">
        <f t="shared" si="37"/>
        <v>rokwzgl=26 i lp=108000</v>
      </c>
      <c r="AF107" s="13" t="str">
        <f t="shared" si="37"/>
        <v>rokwzgl=27 i lp=108000</v>
      </c>
      <c r="AG107" s="13" t="str">
        <f t="shared" si="37"/>
        <v>rokwzgl=28 i lp=108000</v>
      </c>
      <c r="AH107" s="13" t="str">
        <f t="shared" si="37"/>
        <v>rokwzgl=29 i lp=108000</v>
      </c>
      <c r="AI107" s="13" t="str">
        <f t="shared" si="37"/>
        <v>rokwzgl=30 i lp=108000</v>
      </c>
      <c r="AJ107" s="13" t="str">
        <f t="shared" si="37"/>
        <v>rokwzgl=31 i lp=108000</v>
      </c>
      <c r="AK107" s="13" t="str">
        <f t="shared" si="37"/>
        <v>rokwzgl=32 i lp=108000</v>
      </c>
      <c r="AL107" s="13" t="str">
        <f t="shared" si="37"/>
        <v>rokwzgl=33 i lp=108000</v>
      </c>
      <c r="AM107" s="13" t="str">
        <f t="shared" si="37"/>
        <v>rokwzgl=34 i lp=108000</v>
      </c>
      <c r="AN107" s="13" t="str">
        <f t="shared" si="32"/>
        <v>rokwzgl=35 i lp=108000</v>
      </c>
      <c r="AO107" s="13" t="str">
        <f t="shared" si="32"/>
        <v>rokwzgl=36 i lp=108000</v>
      </c>
      <c r="AP107" s="13" t="str">
        <f t="shared" si="32"/>
        <v>rokwzgl=37 i lp=108000</v>
      </c>
      <c r="AQ107" s="13" t="str">
        <f t="shared" si="32"/>
        <v>rokwzgl=38 i lp=108000</v>
      </c>
      <c r="AR107" s="13" t="str">
        <f t="shared" si="32"/>
        <v>rokwzgl=39 i lp=108000</v>
      </c>
    </row>
    <row r="108" spans="1:44">
      <c r="A108" s="29">
        <v>109000</v>
      </c>
      <c r="B108" s="12" t="s">
        <v>240</v>
      </c>
      <c r="C108" s="13" t="s">
        <v>188</v>
      </c>
      <c r="D108" s="13" t="str">
        <f t="shared" si="38"/>
        <v>rokwzgl=0 i lp=109000</v>
      </c>
      <c r="E108" s="13" t="str">
        <f t="shared" si="38"/>
        <v>rokwzgl=0 i lp=109000</v>
      </c>
      <c r="F108" s="13" t="str">
        <f t="shared" si="38"/>
        <v>rokwzgl=1 i lp=109000</v>
      </c>
      <c r="G108" s="13" t="str">
        <f t="shared" si="38"/>
        <v>rokwzgl=2 i lp=109000</v>
      </c>
      <c r="H108" s="13" t="str">
        <f t="shared" si="38"/>
        <v>rokwzgl=3 i lp=109000</v>
      </c>
      <c r="I108" s="13" t="str">
        <f t="shared" si="38"/>
        <v>rokwzgl=4 i lp=109000</v>
      </c>
      <c r="J108" s="13" t="str">
        <f t="shared" si="38"/>
        <v>rokwzgl=5 i lp=109000</v>
      </c>
      <c r="K108" s="13" t="str">
        <f t="shared" si="38"/>
        <v>rokwzgl=6 i lp=109000</v>
      </c>
      <c r="L108" s="13" t="str">
        <f t="shared" si="38"/>
        <v>rokwzgl=7 i lp=109000</v>
      </c>
      <c r="M108" s="13" t="str">
        <f t="shared" si="38"/>
        <v>rokwzgl=8 i lp=109000</v>
      </c>
      <c r="N108" s="13" t="str">
        <f t="shared" si="39"/>
        <v>rokwzgl=9 i lp=109000</v>
      </c>
      <c r="O108" s="13" t="str">
        <f t="shared" si="39"/>
        <v>rokwzgl=10 i lp=109000</v>
      </c>
      <c r="P108" s="13" t="str">
        <f t="shared" si="39"/>
        <v>rokwzgl=11 i lp=109000</v>
      </c>
      <c r="Q108" s="13" t="str">
        <f t="shared" si="39"/>
        <v>rokwzgl=12 i lp=109000</v>
      </c>
      <c r="R108" s="13" t="str">
        <f t="shared" si="39"/>
        <v>rokwzgl=13 i lp=109000</v>
      </c>
      <c r="S108" s="13" t="str">
        <f t="shared" si="39"/>
        <v>rokwzgl=14 i lp=109000</v>
      </c>
      <c r="T108" s="13" t="str">
        <f t="shared" si="39"/>
        <v>rokwzgl=15 i lp=109000</v>
      </c>
      <c r="U108" s="13" t="str">
        <f t="shared" si="39"/>
        <v>rokwzgl=16 i lp=109000</v>
      </c>
      <c r="V108" s="13" t="str">
        <f t="shared" si="39"/>
        <v>rokwzgl=17 i lp=109000</v>
      </c>
      <c r="W108" s="13" t="str">
        <f t="shared" si="39"/>
        <v>rokwzgl=18 i lp=109000</v>
      </c>
      <c r="X108" s="13" t="str">
        <f t="shared" si="37"/>
        <v>rokwzgl=19 i lp=109000</v>
      </c>
      <c r="Y108" s="13" t="str">
        <f t="shared" si="37"/>
        <v>rokwzgl=20 i lp=109000</v>
      </c>
      <c r="Z108" s="13" t="str">
        <f t="shared" si="37"/>
        <v>rokwzgl=21 i lp=109000</v>
      </c>
      <c r="AA108" s="13" t="str">
        <f t="shared" si="37"/>
        <v>rokwzgl=22 i lp=109000</v>
      </c>
      <c r="AB108" s="13" t="str">
        <f t="shared" si="37"/>
        <v>rokwzgl=23 i lp=109000</v>
      </c>
      <c r="AC108" s="13" t="str">
        <f t="shared" si="37"/>
        <v>rokwzgl=24 i lp=109000</v>
      </c>
      <c r="AD108" s="13" t="str">
        <f t="shared" si="37"/>
        <v>rokwzgl=25 i lp=109000</v>
      </c>
      <c r="AE108" s="13" t="str">
        <f t="shared" si="37"/>
        <v>rokwzgl=26 i lp=109000</v>
      </c>
      <c r="AF108" s="13" t="str">
        <f t="shared" si="37"/>
        <v>rokwzgl=27 i lp=109000</v>
      </c>
      <c r="AG108" s="13" t="str">
        <f t="shared" si="37"/>
        <v>rokwzgl=28 i lp=109000</v>
      </c>
      <c r="AH108" s="13" t="str">
        <f t="shared" si="37"/>
        <v>rokwzgl=29 i lp=109000</v>
      </c>
      <c r="AI108" s="13" t="str">
        <f t="shared" si="37"/>
        <v>rokwzgl=30 i lp=109000</v>
      </c>
      <c r="AJ108" s="13" t="str">
        <f t="shared" si="37"/>
        <v>rokwzgl=31 i lp=109000</v>
      </c>
      <c r="AK108" s="13" t="str">
        <f t="shared" si="37"/>
        <v>rokwzgl=32 i lp=109000</v>
      </c>
      <c r="AL108" s="13" t="str">
        <f t="shared" si="37"/>
        <v>rokwzgl=33 i lp=109000</v>
      </c>
      <c r="AM108" s="13" t="str">
        <f t="shared" si="37"/>
        <v>rokwzgl=34 i lp=109000</v>
      </c>
      <c r="AN108" s="13" t="str">
        <f t="shared" si="32"/>
        <v>rokwzgl=35 i lp=109000</v>
      </c>
      <c r="AO108" s="13" t="str">
        <f t="shared" si="32"/>
        <v>rokwzgl=36 i lp=109000</v>
      </c>
      <c r="AP108" s="13" t="str">
        <f t="shared" si="32"/>
        <v>rokwzgl=37 i lp=109000</v>
      </c>
      <c r="AQ108" s="13" t="str">
        <f t="shared" si="32"/>
        <v>rokwzgl=38 i lp=109000</v>
      </c>
      <c r="AR108" s="13" t="str">
        <f t="shared" si="32"/>
        <v>rokwzgl=39 i lp=109000</v>
      </c>
    </row>
    <row r="109" spans="1:44">
      <c r="A109" s="29">
        <v>109100</v>
      </c>
      <c r="B109" s="12" t="s">
        <v>326</v>
      </c>
      <c r="D109" s="13" t="str">
        <f t="shared" si="38"/>
        <v>rokwzgl=0 i lp=109100</v>
      </c>
      <c r="E109" s="13" t="str">
        <f t="shared" si="38"/>
        <v>rokwzgl=0 i lp=109100</v>
      </c>
      <c r="F109" s="13" t="str">
        <f t="shared" si="38"/>
        <v>rokwzgl=1 i lp=109100</v>
      </c>
      <c r="G109" s="13" t="str">
        <f t="shared" si="38"/>
        <v>rokwzgl=2 i lp=109100</v>
      </c>
      <c r="H109" s="13" t="str">
        <f t="shared" si="38"/>
        <v>rokwzgl=3 i lp=109100</v>
      </c>
      <c r="I109" s="13" t="str">
        <f t="shared" si="38"/>
        <v>rokwzgl=4 i lp=109100</v>
      </c>
      <c r="J109" s="13" t="str">
        <f t="shared" si="38"/>
        <v>rokwzgl=5 i lp=109100</v>
      </c>
      <c r="K109" s="13" t="str">
        <f t="shared" si="38"/>
        <v>rokwzgl=6 i lp=109100</v>
      </c>
      <c r="L109" s="13" t="str">
        <f t="shared" si="38"/>
        <v>rokwzgl=7 i lp=109100</v>
      </c>
      <c r="M109" s="13" t="str">
        <f t="shared" si="38"/>
        <v>rokwzgl=8 i lp=109100</v>
      </c>
      <c r="N109" s="13" t="str">
        <f t="shared" si="39"/>
        <v>rokwzgl=9 i lp=109100</v>
      </c>
      <c r="O109" s="13" t="str">
        <f t="shared" si="39"/>
        <v>rokwzgl=10 i lp=109100</v>
      </c>
      <c r="P109" s="13" t="str">
        <f t="shared" si="39"/>
        <v>rokwzgl=11 i lp=109100</v>
      </c>
      <c r="Q109" s="13" t="str">
        <f t="shared" si="39"/>
        <v>rokwzgl=12 i lp=109100</v>
      </c>
      <c r="R109" s="13" t="str">
        <f t="shared" si="39"/>
        <v>rokwzgl=13 i lp=109100</v>
      </c>
      <c r="S109" s="13" t="str">
        <f t="shared" si="39"/>
        <v>rokwzgl=14 i lp=109100</v>
      </c>
      <c r="T109" s="13" t="str">
        <f t="shared" si="39"/>
        <v>rokwzgl=15 i lp=109100</v>
      </c>
      <c r="U109" s="13" t="str">
        <f t="shared" si="39"/>
        <v>rokwzgl=16 i lp=109100</v>
      </c>
      <c r="V109" s="13" t="str">
        <f t="shared" si="39"/>
        <v>rokwzgl=17 i lp=109100</v>
      </c>
      <c r="W109" s="13" t="str">
        <f t="shared" si="39"/>
        <v>rokwzgl=18 i lp=109100</v>
      </c>
      <c r="X109" s="13" t="str">
        <f t="shared" si="37"/>
        <v>rokwzgl=19 i lp=109100</v>
      </c>
      <c r="Y109" s="13" t="str">
        <f t="shared" si="37"/>
        <v>rokwzgl=20 i lp=109100</v>
      </c>
      <c r="Z109" s="13" t="str">
        <f t="shared" si="37"/>
        <v>rokwzgl=21 i lp=109100</v>
      </c>
      <c r="AA109" s="13" t="str">
        <f t="shared" si="37"/>
        <v>rokwzgl=22 i lp=109100</v>
      </c>
      <c r="AB109" s="13" t="str">
        <f t="shared" si="37"/>
        <v>rokwzgl=23 i lp=109100</v>
      </c>
      <c r="AC109" s="13" t="str">
        <f t="shared" si="37"/>
        <v>rokwzgl=24 i lp=109100</v>
      </c>
      <c r="AD109" s="13" t="str">
        <f t="shared" si="37"/>
        <v>rokwzgl=25 i lp=109100</v>
      </c>
      <c r="AE109" s="13" t="str">
        <f t="shared" si="37"/>
        <v>rokwzgl=26 i lp=109100</v>
      </c>
      <c r="AF109" s="13" t="str">
        <f t="shared" si="37"/>
        <v>rokwzgl=27 i lp=109100</v>
      </c>
      <c r="AG109" s="13" t="str">
        <f t="shared" si="37"/>
        <v>rokwzgl=28 i lp=109100</v>
      </c>
      <c r="AH109" s="13" t="str">
        <f t="shared" si="37"/>
        <v>rokwzgl=29 i lp=109100</v>
      </c>
      <c r="AI109" s="13" t="str">
        <f t="shared" si="37"/>
        <v>rokwzgl=30 i lp=109100</v>
      </c>
      <c r="AJ109" s="13" t="str">
        <f t="shared" si="37"/>
        <v>rokwzgl=31 i lp=109100</v>
      </c>
      <c r="AK109" s="13" t="str">
        <f t="shared" si="37"/>
        <v>rokwzgl=32 i lp=109100</v>
      </c>
      <c r="AL109" s="13" t="str">
        <f t="shared" si="37"/>
        <v>rokwzgl=33 i lp=109100</v>
      </c>
      <c r="AM109" s="13" t="str">
        <f t="shared" si="37"/>
        <v>rokwzgl=34 i lp=109100</v>
      </c>
      <c r="AN109" s="13" t="str">
        <f t="shared" si="32"/>
        <v>rokwzgl=35 i lp=109100</v>
      </c>
      <c r="AO109" s="13" t="str">
        <f t="shared" si="32"/>
        <v>rokwzgl=36 i lp=109100</v>
      </c>
      <c r="AP109" s="13" t="str">
        <f t="shared" si="32"/>
        <v>rokwzgl=37 i lp=109100</v>
      </c>
      <c r="AQ109" s="13" t="str">
        <f t="shared" si="32"/>
        <v>rokwzgl=38 i lp=109100</v>
      </c>
      <c r="AR109" s="13" t="str">
        <f t="shared" si="32"/>
        <v>rokwzgl=39 i lp=109100</v>
      </c>
    </row>
    <row r="110" spans="1:44">
      <c r="A110" s="29">
        <v>109110</v>
      </c>
      <c r="B110" s="12" t="s">
        <v>327</v>
      </c>
      <c r="D110" s="13" t="str">
        <f t="shared" si="38"/>
        <v>rokwzgl=0 i lp=109110</v>
      </c>
      <c r="E110" s="13" t="str">
        <f t="shared" si="38"/>
        <v>rokwzgl=0 i lp=109110</v>
      </c>
      <c r="F110" s="13" t="str">
        <f t="shared" si="38"/>
        <v>rokwzgl=1 i lp=109110</v>
      </c>
      <c r="G110" s="13" t="str">
        <f t="shared" si="38"/>
        <v>rokwzgl=2 i lp=109110</v>
      </c>
      <c r="H110" s="13" t="str">
        <f t="shared" si="38"/>
        <v>rokwzgl=3 i lp=109110</v>
      </c>
      <c r="I110" s="13" t="str">
        <f t="shared" si="38"/>
        <v>rokwzgl=4 i lp=109110</v>
      </c>
      <c r="J110" s="13" t="str">
        <f t="shared" si="38"/>
        <v>rokwzgl=5 i lp=109110</v>
      </c>
      <c r="K110" s="13" t="str">
        <f t="shared" si="38"/>
        <v>rokwzgl=6 i lp=109110</v>
      </c>
      <c r="L110" s="13" t="str">
        <f t="shared" si="38"/>
        <v>rokwzgl=7 i lp=109110</v>
      </c>
      <c r="M110" s="13" t="str">
        <f t="shared" si="38"/>
        <v>rokwzgl=8 i lp=109110</v>
      </c>
      <c r="N110" s="13" t="str">
        <f t="shared" si="39"/>
        <v>rokwzgl=9 i lp=109110</v>
      </c>
      <c r="O110" s="13" t="str">
        <f t="shared" si="39"/>
        <v>rokwzgl=10 i lp=109110</v>
      </c>
      <c r="P110" s="13" t="str">
        <f t="shared" si="39"/>
        <v>rokwzgl=11 i lp=109110</v>
      </c>
      <c r="Q110" s="13" t="str">
        <f t="shared" si="39"/>
        <v>rokwzgl=12 i lp=109110</v>
      </c>
      <c r="R110" s="13" t="str">
        <f t="shared" si="39"/>
        <v>rokwzgl=13 i lp=109110</v>
      </c>
      <c r="S110" s="13" t="str">
        <f t="shared" si="39"/>
        <v>rokwzgl=14 i lp=109110</v>
      </c>
      <c r="T110" s="13" t="str">
        <f t="shared" si="39"/>
        <v>rokwzgl=15 i lp=109110</v>
      </c>
      <c r="U110" s="13" t="str">
        <f t="shared" si="39"/>
        <v>rokwzgl=16 i lp=109110</v>
      </c>
      <c r="V110" s="13" t="str">
        <f t="shared" si="39"/>
        <v>rokwzgl=17 i lp=109110</v>
      </c>
      <c r="W110" s="13" t="str">
        <f t="shared" si="39"/>
        <v>rokwzgl=18 i lp=109110</v>
      </c>
      <c r="X110" s="13" t="str">
        <f t="shared" si="37"/>
        <v>rokwzgl=19 i lp=109110</v>
      </c>
      <c r="Y110" s="13" t="str">
        <f t="shared" si="37"/>
        <v>rokwzgl=20 i lp=109110</v>
      </c>
      <c r="Z110" s="13" t="str">
        <f t="shared" si="37"/>
        <v>rokwzgl=21 i lp=109110</v>
      </c>
      <c r="AA110" s="13" t="str">
        <f t="shared" si="37"/>
        <v>rokwzgl=22 i lp=109110</v>
      </c>
      <c r="AB110" s="13" t="str">
        <f t="shared" si="37"/>
        <v>rokwzgl=23 i lp=109110</v>
      </c>
      <c r="AC110" s="13" t="str">
        <f t="shared" si="37"/>
        <v>rokwzgl=24 i lp=109110</v>
      </c>
      <c r="AD110" s="13" t="str">
        <f t="shared" si="37"/>
        <v>rokwzgl=25 i lp=109110</v>
      </c>
      <c r="AE110" s="13" t="str">
        <f t="shared" si="37"/>
        <v>rokwzgl=26 i lp=109110</v>
      </c>
      <c r="AF110" s="13" t="str">
        <f t="shared" si="37"/>
        <v>rokwzgl=27 i lp=109110</v>
      </c>
      <c r="AG110" s="13" t="str">
        <f t="shared" si="37"/>
        <v>rokwzgl=28 i lp=109110</v>
      </c>
      <c r="AH110" s="13" t="str">
        <f t="shared" si="37"/>
        <v>rokwzgl=29 i lp=109110</v>
      </c>
      <c r="AI110" s="13" t="str">
        <f t="shared" si="37"/>
        <v>rokwzgl=30 i lp=109110</v>
      </c>
      <c r="AJ110" s="13" t="str">
        <f t="shared" si="37"/>
        <v>rokwzgl=31 i lp=109110</v>
      </c>
      <c r="AK110" s="13" t="str">
        <f t="shared" si="37"/>
        <v>rokwzgl=32 i lp=109110</v>
      </c>
      <c r="AL110" s="13" t="str">
        <f t="shared" si="37"/>
        <v>rokwzgl=33 i lp=109110</v>
      </c>
      <c r="AM110" s="13" t="str">
        <f t="shared" si="37"/>
        <v>rokwzgl=34 i lp=109110</v>
      </c>
      <c r="AN110" s="13" t="str">
        <f t="shared" si="32"/>
        <v>rokwzgl=35 i lp=109110</v>
      </c>
      <c r="AO110" s="13" t="str">
        <f t="shared" si="32"/>
        <v>rokwzgl=36 i lp=109110</v>
      </c>
      <c r="AP110" s="13" t="str">
        <f t="shared" si="32"/>
        <v>rokwzgl=37 i lp=109110</v>
      </c>
      <c r="AQ110" s="13" t="str">
        <f t="shared" si="32"/>
        <v>rokwzgl=38 i lp=109110</v>
      </c>
      <c r="AR110" s="13" t="str">
        <f t="shared" si="32"/>
        <v>rokwzgl=39 i lp=109110</v>
      </c>
    </row>
    <row r="111" spans="1:44">
      <c r="A111" s="29">
        <v>110000</v>
      </c>
      <c r="B111" s="12">
        <v>11</v>
      </c>
      <c r="C111" s="13" t="s">
        <v>102</v>
      </c>
      <c r="D111" s="13" t="str">
        <f t="shared" si="38"/>
        <v>rokwzgl=0 i lp=110000</v>
      </c>
      <c r="E111" s="13" t="str">
        <f t="shared" si="38"/>
        <v>rokwzgl=0 i lp=110000</v>
      </c>
      <c r="F111" s="13" t="str">
        <f t="shared" si="38"/>
        <v>rokwzgl=1 i lp=110000</v>
      </c>
      <c r="G111" s="13" t="str">
        <f t="shared" si="38"/>
        <v>rokwzgl=2 i lp=110000</v>
      </c>
      <c r="H111" s="13" t="str">
        <f t="shared" si="38"/>
        <v>rokwzgl=3 i lp=110000</v>
      </c>
      <c r="I111" s="13" t="str">
        <f t="shared" si="38"/>
        <v>rokwzgl=4 i lp=110000</v>
      </c>
      <c r="J111" s="13" t="str">
        <f t="shared" si="38"/>
        <v>rokwzgl=5 i lp=110000</v>
      </c>
      <c r="K111" s="13" t="str">
        <f t="shared" si="38"/>
        <v>rokwzgl=6 i lp=110000</v>
      </c>
      <c r="L111" s="13" t="str">
        <f t="shared" si="38"/>
        <v>rokwzgl=7 i lp=110000</v>
      </c>
      <c r="M111" s="13" t="str">
        <f t="shared" si="38"/>
        <v>rokwzgl=8 i lp=110000</v>
      </c>
      <c r="N111" s="13" t="str">
        <f t="shared" si="39"/>
        <v>rokwzgl=9 i lp=110000</v>
      </c>
      <c r="O111" s="13" t="str">
        <f t="shared" si="39"/>
        <v>rokwzgl=10 i lp=110000</v>
      </c>
      <c r="P111" s="13" t="str">
        <f t="shared" si="39"/>
        <v>rokwzgl=11 i lp=110000</v>
      </c>
      <c r="Q111" s="13" t="str">
        <f t="shared" si="39"/>
        <v>rokwzgl=12 i lp=110000</v>
      </c>
      <c r="R111" s="13" t="str">
        <f t="shared" si="39"/>
        <v>rokwzgl=13 i lp=110000</v>
      </c>
      <c r="S111" s="13" t="str">
        <f t="shared" si="39"/>
        <v>rokwzgl=14 i lp=110000</v>
      </c>
      <c r="T111" s="13" t="str">
        <f t="shared" si="39"/>
        <v>rokwzgl=15 i lp=110000</v>
      </c>
      <c r="U111" s="13" t="str">
        <f t="shared" si="39"/>
        <v>rokwzgl=16 i lp=110000</v>
      </c>
      <c r="V111" s="13" t="str">
        <f t="shared" si="39"/>
        <v>rokwzgl=17 i lp=110000</v>
      </c>
      <c r="W111" s="13" t="str">
        <f t="shared" si="39"/>
        <v>rokwzgl=18 i lp=110000</v>
      </c>
      <c r="X111" s="13" t="str">
        <f t="shared" si="37"/>
        <v>rokwzgl=19 i lp=110000</v>
      </c>
      <c r="Y111" s="13" t="str">
        <f t="shared" si="37"/>
        <v>rokwzgl=20 i lp=110000</v>
      </c>
      <c r="Z111" s="13" t="str">
        <f t="shared" si="37"/>
        <v>rokwzgl=21 i lp=110000</v>
      </c>
      <c r="AA111" s="13" t="str">
        <f t="shared" si="37"/>
        <v>rokwzgl=22 i lp=110000</v>
      </c>
      <c r="AB111" s="13" t="str">
        <f t="shared" si="37"/>
        <v>rokwzgl=23 i lp=110000</v>
      </c>
      <c r="AC111" s="13" t="str">
        <f t="shared" si="37"/>
        <v>rokwzgl=24 i lp=110000</v>
      </c>
      <c r="AD111" s="13" t="str">
        <f t="shared" si="37"/>
        <v>rokwzgl=25 i lp=110000</v>
      </c>
      <c r="AE111" s="13" t="str">
        <f t="shared" si="37"/>
        <v>rokwzgl=26 i lp=110000</v>
      </c>
      <c r="AF111" s="13" t="str">
        <f t="shared" si="37"/>
        <v>rokwzgl=27 i lp=110000</v>
      </c>
      <c r="AG111" s="13" t="str">
        <f t="shared" si="37"/>
        <v>rokwzgl=28 i lp=110000</v>
      </c>
      <c r="AH111" s="13" t="str">
        <f t="shared" si="37"/>
        <v>rokwzgl=29 i lp=110000</v>
      </c>
      <c r="AI111" s="13" t="str">
        <f t="shared" si="37"/>
        <v>rokwzgl=30 i lp=110000</v>
      </c>
      <c r="AJ111" s="13" t="str">
        <f t="shared" si="37"/>
        <v>rokwzgl=31 i lp=110000</v>
      </c>
      <c r="AK111" s="13" t="str">
        <f t="shared" si="37"/>
        <v>rokwzgl=32 i lp=110000</v>
      </c>
      <c r="AL111" s="13" t="str">
        <f t="shared" si="37"/>
        <v>rokwzgl=33 i lp=110000</v>
      </c>
      <c r="AM111" s="13" t="str">
        <f t="shared" si="37"/>
        <v>rokwzgl=34 i lp=110000</v>
      </c>
      <c r="AN111" s="13" t="str">
        <f t="shared" si="32"/>
        <v>rokwzgl=35 i lp=110000</v>
      </c>
      <c r="AO111" s="13" t="str">
        <f t="shared" si="32"/>
        <v>rokwzgl=36 i lp=110000</v>
      </c>
      <c r="AP111" s="13" t="str">
        <f t="shared" si="32"/>
        <v>rokwzgl=37 i lp=110000</v>
      </c>
      <c r="AQ111" s="13" t="str">
        <f t="shared" si="32"/>
        <v>rokwzgl=38 i lp=110000</v>
      </c>
      <c r="AR111" s="13" t="str">
        <f t="shared" si="32"/>
        <v>rokwzgl=39 i lp=110000</v>
      </c>
    </row>
    <row r="112" spans="1:44">
      <c r="A112" s="29">
        <v>111000</v>
      </c>
      <c r="B112" s="12" t="s">
        <v>66</v>
      </c>
      <c r="C112" s="13" t="s">
        <v>189</v>
      </c>
      <c r="D112" s="13" t="str">
        <f t="shared" si="38"/>
        <v>rokwzgl=0 i lp=111000</v>
      </c>
      <c r="E112" s="13" t="str">
        <f t="shared" si="38"/>
        <v>rokwzgl=0 i lp=111000</v>
      </c>
      <c r="F112" s="13" t="str">
        <f t="shared" si="38"/>
        <v>rokwzgl=1 i lp=111000</v>
      </c>
      <c r="G112" s="13" t="str">
        <f t="shared" si="38"/>
        <v>rokwzgl=2 i lp=111000</v>
      </c>
      <c r="H112" s="13" t="str">
        <f t="shared" si="38"/>
        <v>rokwzgl=3 i lp=111000</v>
      </c>
      <c r="I112" s="13" t="str">
        <f t="shared" si="38"/>
        <v>rokwzgl=4 i lp=111000</v>
      </c>
      <c r="J112" s="13" t="str">
        <f t="shared" si="38"/>
        <v>rokwzgl=5 i lp=111000</v>
      </c>
      <c r="K112" s="13" t="str">
        <f t="shared" si="38"/>
        <v>rokwzgl=6 i lp=111000</v>
      </c>
      <c r="L112" s="13" t="str">
        <f t="shared" si="38"/>
        <v>rokwzgl=7 i lp=111000</v>
      </c>
      <c r="M112" s="13" t="str">
        <f t="shared" si="38"/>
        <v>rokwzgl=8 i lp=111000</v>
      </c>
      <c r="N112" s="13" t="str">
        <f t="shared" si="39"/>
        <v>rokwzgl=9 i lp=111000</v>
      </c>
      <c r="O112" s="13" t="str">
        <f t="shared" si="39"/>
        <v>rokwzgl=10 i lp=111000</v>
      </c>
      <c r="P112" s="13" t="str">
        <f t="shared" si="39"/>
        <v>rokwzgl=11 i lp=111000</v>
      </c>
      <c r="Q112" s="13" t="str">
        <f t="shared" si="39"/>
        <v>rokwzgl=12 i lp=111000</v>
      </c>
      <c r="R112" s="13" t="str">
        <f t="shared" si="39"/>
        <v>rokwzgl=13 i lp=111000</v>
      </c>
      <c r="S112" s="13" t="str">
        <f t="shared" si="39"/>
        <v>rokwzgl=14 i lp=111000</v>
      </c>
      <c r="T112" s="13" t="str">
        <f t="shared" si="39"/>
        <v>rokwzgl=15 i lp=111000</v>
      </c>
      <c r="U112" s="13" t="str">
        <f t="shared" si="39"/>
        <v>rokwzgl=16 i lp=111000</v>
      </c>
      <c r="V112" s="13" t="str">
        <f t="shared" si="39"/>
        <v>rokwzgl=17 i lp=111000</v>
      </c>
      <c r="W112" s="13" t="str">
        <f t="shared" si="39"/>
        <v>rokwzgl=18 i lp=111000</v>
      </c>
      <c r="X112" s="13" t="str">
        <f t="shared" si="37"/>
        <v>rokwzgl=19 i lp=111000</v>
      </c>
      <c r="Y112" s="13" t="str">
        <f t="shared" si="37"/>
        <v>rokwzgl=20 i lp=111000</v>
      </c>
      <c r="Z112" s="13" t="str">
        <f t="shared" si="37"/>
        <v>rokwzgl=21 i lp=111000</v>
      </c>
      <c r="AA112" s="13" t="str">
        <f t="shared" si="37"/>
        <v>rokwzgl=22 i lp=111000</v>
      </c>
      <c r="AB112" s="13" t="str">
        <f t="shared" si="37"/>
        <v>rokwzgl=23 i lp=111000</v>
      </c>
      <c r="AC112" s="13" t="str">
        <f t="shared" si="37"/>
        <v>rokwzgl=24 i lp=111000</v>
      </c>
      <c r="AD112" s="13" t="str">
        <f t="shared" si="37"/>
        <v>rokwzgl=25 i lp=111000</v>
      </c>
      <c r="AE112" s="13" t="str">
        <f t="shared" si="37"/>
        <v>rokwzgl=26 i lp=111000</v>
      </c>
      <c r="AF112" s="13" t="str">
        <f t="shared" si="37"/>
        <v>rokwzgl=27 i lp=111000</v>
      </c>
      <c r="AG112" s="13" t="str">
        <f t="shared" si="37"/>
        <v>rokwzgl=28 i lp=111000</v>
      </c>
      <c r="AH112" s="13" t="str">
        <f t="shared" si="37"/>
        <v>rokwzgl=29 i lp=111000</v>
      </c>
      <c r="AI112" s="13" t="str">
        <f t="shared" si="37"/>
        <v>rokwzgl=30 i lp=111000</v>
      </c>
      <c r="AJ112" s="13" t="str">
        <f t="shared" si="37"/>
        <v>rokwzgl=31 i lp=111000</v>
      </c>
      <c r="AK112" s="13" t="str">
        <f t="shared" si="37"/>
        <v>rokwzgl=32 i lp=111000</v>
      </c>
      <c r="AL112" s="13" t="str">
        <f t="shared" si="37"/>
        <v>rokwzgl=33 i lp=111000</v>
      </c>
      <c r="AM112" s="13" t="str">
        <f t="shared" si="37"/>
        <v>rokwzgl=34 i lp=111000</v>
      </c>
      <c r="AN112" s="13" t="str">
        <f t="shared" si="32"/>
        <v>rokwzgl=35 i lp=111000</v>
      </c>
      <c r="AO112" s="13" t="str">
        <f t="shared" si="32"/>
        <v>rokwzgl=36 i lp=111000</v>
      </c>
      <c r="AP112" s="13" t="str">
        <f t="shared" si="32"/>
        <v>rokwzgl=37 i lp=111000</v>
      </c>
      <c r="AQ112" s="13" t="str">
        <f t="shared" si="32"/>
        <v>rokwzgl=38 i lp=111000</v>
      </c>
      <c r="AR112" s="13" t="str">
        <f t="shared" si="32"/>
        <v>rokwzgl=39 i lp=111000</v>
      </c>
    </row>
    <row r="113" spans="1:44">
      <c r="A113" s="29">
        <v>111100</v>
      </c>
      <c r="B113" s="12" t="s">
        <v>226</v>
      </c>
      <c r="C113" s="13" t="s">
        <v>190</v>
      </c>
      <c r="D113" s="13" t="str">
        <f t="shared" si="38"/>
        <v>rokwzgl=0 i lp=111100</v>
      </c>
      <c r="E113" s="13" t="str">
        <f t="shared" si="38"/>
        <v>rokwzgl=0 i lp=111100</v>
      </c>
      <c r="F113" s="13" t="str">
        <f t="shared" si="38"/>
        <v>rokwzgl=1 i lp=111100</v>
      </c>
      <c r="G113" s="13" t="str">
        <f t="shared" si="38"/>
        <v>rokwzgl=2 i lp=111100</v>
      </c>
      <c r="H113" s="13" t="str">
        <f t="shared" si="38"/>
        <v>rokwzgl=3 i lp=111100</v>
      </c>
      <c r="I113" s="13" t="str">
        <f t="shared" si="38"/>
        <v>rokwzgl=4 i lp=111100</v>
      </c>
      <c r="J113" s="13" t="str">
        <f t="shared" si="38"/>
        <v>rokwzgl=5 i lp=111100</v>
      </c>
      <c r="K113" s="13" t="str">
        <f t="shared" si="38"/>
        <v>rokwzgl=6 i lp=111100</v>
      </c>
      <c r="L113" s="13" t="str">
        <f t="shared" si="38"/>
        <v>rokwzgl=7 i lp=111100</v>
      </c>
      <c r="M113" s="13" t="str">
        <f t="shared" si="38"/>
        <v>rokwzgl=8 i lp=111100</v>
      </c>
      <c r="N113" s="13" t="str">
        <f t="shared" si="39"/>
        <v>rokwzgl=9 i lp=111100</v>
      </c>
      <c r="O113" s="13" t="str">
        <f t="shared" si="39"/>
        <v>rokwzgl=10 i lp=111100</v>
      </c>
      <c r="P113" s="13" t="str">
        <f t="shared" si="39"/>
        <v>rokwzgl=11 i lp=111100</v>
      </c>
      <c r="Q113" s="13" t="str">
        <f t="shared" si="39"/>
        <v>rokwzgl=12 i lp=111100</v>
      </c>
      <c r="R113" s="13" t="str">
        <f t="shared" si="39"/>
        <v>rokwzgl=13 i lp=111100</v>
      </c>
      <c r="S113" s="13" t="str">
        <f t="shared" si="39"/>
        <v>rokwzgl=14 i lp=111100</v>
      </c>
      <c r="T113" s="13" t="str">
        <f t="shared" si="39"/>
        <v>rokwzgl=15 i lp=111100</v>
      </c>
      <c r="U113" s="13" t="str">
        <f t="shared" si="39"/>
        <v>rokwzgl=16 i lp=111100</v>
      </c>
      <c r="V113" s="13" t="str">
        <f t="shared" si="39"/>
        <v>rokwzgl=17 i lp=111100</v>
      </c>
      <c r="W113" s="13" t="str">
        <f t="shared" si="39"/>
        <v>rokwzgl=18 i lp=111100</v>
      </c>
      <c r="X113" s="13" t="str">
        <f t="shared" si="37"/>
        <v>rokwzgl=19 i lp=111100</v>
      </c>
      <c r="Y113" s="13" t="str">
        <f t="shared" si="37"/>
        <v>rokwzgl=20 i lp=111100</v>
      </c>
      <c r="Z113" s="13" t="str">
        <f t="shared" si="37"/>
        <v>rokwzgl=21 i lp=111100</v>
      </c>
      <c r="AA113" s="13" t="str">
        <f t="shared" si="37"/>
        <v>rokwzgl=22 i lp=111100</v>
      </c>
      <c r="AB113" s="13" t="str">
        <f t="shared" si="37"/>
        <v>rokwzgl=23 i lp=111100</v>
      </c>
      <c r="AC113" s="13" t="str">
        <f t="shared" si="37"/>
        <v>rokwzgl=24 i lp=111100</v>
      </c>
      <c r="AD113" s="13" t="str">
        <f t="shared" si="37"/>
        <v>rokwzgl=25 i lp=111100</v>
      </c>
      <c r="AE113" s="13" t="str">
        <f t="shared" si="37"/>
        <v>rokwzgl=26 i lp=111100</v>
      </c>
      <c r="AF113" s="13" t="str">
        <f t="shared" si="37"/>
        <v>rokwzgl=27 i lp=111100</v>
      </c>
      <c r="AG113" s="13" t="str">
        <f t="shared" si="37"/>
        <v>rokwzgl=28 i lp=111100</v>
      </c>
      <c r="AH113" s="13" t="str">
        <f t="shared" si="37"/>
        <v>rokwzgl=29 i lp=111100</v>
      </c>
      <c r="AI113" s="13" t="str">
        <f t="shared" si="37"/>
        <v>rokwzgl=30 i lp=111100</v>
      </c>
      <c r="AJ113" s="13" t="str">
        <f t="shared" si="37"/>
        <v>rokwzgl=31 i lp=111100</v>
      </c>
      <c r="AK113" s="13" t="str">
        <f t="shared" si="37"/>
        <v>rokwzgl=32 i lp=111100</v>
      </c>
      <c r="AL113" s="13" t="str">
        <f t="shared" si="37"/>
        <v>rokwzgl=33 i lp=111100</v>
      </c>
      <c r="AM113" s="13" t="str">
        <f t="shared" si="37"/>
        <v>rokwzgl=34 i lp=111100</v>
      </c>
      <c r="AN113" s="13" t="str">
        <f t="shared" si="32"/>
        <v>rokwzgl=35 i lp=111100</v>
      </c>
      <c r="AO113" s="13" t="str">
        <f t="shared" si="32"/>
        <v>rokwzgl=36 i lp=111100</v>
      </c>
      <c r="AP113" s="13" t="str">
        <f t="shared" si="32"/>
        <v>rokwzgl=37 i lp=111100</v>
      </c>
      <c r="AQ113" s="13" t="str">
        <f t="shared" si="32"/>
        <v>rokwzgl=38 i lp=111100</v>
      </c>
      <c r="AR113" s="13" t="str">
        <f t="shared" si="32"/>
        <v>rokwzgl=39 i lp=111100</v>
      </c>
    </row>
    <row r="114" spans="1:44">
      <c r="A114" s="29">
        <v>112000</v>
      </c>
      <c r="B114" s="12" t="s">
        <v>67</v>
      </c>
      <c r="C114" s="13" t="s">
        <v>191</v>
      </c>
      <c r="D114" s="13" t="str">
        <f t="shared" si="38"/>
        <v>rokwzgl=0 i lp=112000</v>
      </c>
      <c r="E114" s="13" t="str">
        <f t="shared" si="38"/>
        <v>rokwzgl=0 i lp=112000</v>
      </c>
      <c r="F114" s="13" t="str">
        <f t="shared" si="38"/>
        <v>rokwzgl=1 i lp=112000</v>
      </c>
      <c r="G114" s="13" t="str">
        <f t="shared" si="38"/>
        <v>rokwzgl=2 i lp=112000</v>
      </c>
      <c r="H114" s="13" t="str">
        <f t="shared" si="38"/>
        <v>rokwzgl=3 i lp=112000</v>
      </c>
      <c r="I114" s="13" t="str">
        <f t="shared" si="38"/>
        <v>rokwzgl=4 i lp=112000</v>
      </c>
      <c r="J114" s="13" t="str">
        <f t="shared" si="38"/>
        <v>rokwzgl=5 i lp=112000</v>
      </c>
      <c r="K114" s="13" t="str">
        <f t="shared" si="38"/>
        <v>rokwzgl=6 i lp=112000</v>
      </c>
      <c r="L114" s="13" t="str">
        <f t="shared" si="38"/>
        <v>rokwzgl=7 i lp=112000</v>
      </c>
      <c r="M114" s="13" t="str">
        <f t="shared" si="38"/>
        <v>rokwzgl=8 i lp=112000</v>
      </c>
      <c r="N114" s="13" t="str">
        <f t="shared" si="39"/>
        <v>rokwzgl=9 i lp=112000</v>
      </c>
      <c r="O114" s="13" t="str">
        <f t="shared" si="39"/>
        <v>rokwzgl=10 i lp=112000</v>
      </c>
      <c r="P114" s="13" t="str">
        <f t="shared" si="39"/>
        <v>rokwzgl=11 i lp=112000</v>
      </c>
      <c r="Q114" s="13" t="str">
        <f t="shared" si="39"/>
        <v>rokwzgl=12 i lp=112000</v>
      </c>
      <c r="R114" s="13" t="str">
        <f t="shared" si="39"/>
        <v>rokwzgl=13 i lp=112000</v>
      </c>
      <c r="S114" s="13" t="str">
        <f t="shared" si="39"/>
        <v>rokwzgl=14 i lp=112000</v>
      </c>
      <c r="T114" s="13" t="str">
        <f t="shared" si="39"/>
        <v>rokwzgl=15 i lp=112000</v>
      </c>
      <c r="U114" s="13" t="str">
        <f t="shared" si="39"/>
        <v>rokwzgl=16 i lp=112000</v>
      </c>
      <c r="V114" s="13" t="str">
        <f t="shared" si="39"/>
        <v>rokwzgl=17 i lp=112000</v>
      </c>
      <c r="W114" s="13" t="str">
        <f t="shared" si="39"/>
        <v>rokwzgl=18 i lp=112000</v>
      </c>
      <c r="X114" s="13" t="str">
        <f t="shared" si="37"/>
        <v>rokwzgl=19 i lp=112000</v>
      </c>
      <c r="Y114" s="13" t="str">
        <f t="shared" si="37"/>
        <v>rokwzgl=20 i lp=112000</v>
      </c>
      <c r="Z114" s="13" t="str">
        <f t="shared" si="37"/>
        <v>rokwzgl=21 i lp=112000</v>
      </c>
      <c r="AA114" s="13" t="str">
        <f t="shared" si="37"/>
        <v>rokwzgl=22 i lp=112000</v>
      </c>
      <c r="AB114" s="13" t="str">
        <f t="shared" si="37"/>
        <v>rokwzgl=23 i lp=112000</v>
      </c>
      <c r="AC114" s="13" t="str">
        <f t="shared" si="37"/>
        <v>rokwzgl=24 i lp=112000</v>
      </c>
      <c r="AD114" s="13" t="str">
        <f t="shared" si="37"/>
        <v>rokwzgl=25 i lp=112000</v>
      </c>
      <c r="AE114" s="13" t="str">
        <f t="shared" si="37"/>
        <v>rokwzgl=26 i lp=112000</v>
      </c>
      <c r="AF114" s="13" t="str">
        <f t="shared" si="37"/>
        <v>rokwzgl=27 i lp=112000</v>
      </c>
      <c r="AG114" s="13" t="str">
        <f t="shared" si="37"/>
        <v>rokwzgl=28 i lp=112000</v>
      </c>
      <c r="AH114" s="13" t="str">
        <f t="shared" si="37"/>
        <v>rokwzgl=29 i lp=112000</v>
      </c>
      <c r="AI114" s="13" t="str">
        <f t="shared" si="37"/>
        <v>rokwzgl=30 i lp=112000</v>
      </c>
      <c r="AJ114" s="13" t="str">
        <f t="shared" si="37"/>
        <v>rokwzgl=31 i lp=112000</v>
      </c>
      <c r="AK114" s="13" t="str">
        <f t="shared" si="37"/>
        <v>rokwzgl=32 i lp=112000</v>
      </c>
      <c r="AL114" s="13" t="str">
        <f t="shared" si="37"/>
        <v>rokwzgl=33 i lp=112000</v>
      </c>
      <c r="AM114" s="13" t="str">
        <f t="shared" si="37"/>
        <v>rokwzgl=34 i lp=112000</v>
      </c>
      <c r="AN114" s="13" t="str">
        <f t="shared" si="32"/>
        <v>rokwzgl=35 i lp=112000</v>
      </c>
      <c r="AO114" s="13" t="str">
        <f t="shared" si="32"/>
        <v>rokwzgl=36 i lp=112000</v>
      </c>
      <c r="AP114" s="13" t="str">
        <f t="shared" si="32"/>
        <v>rokwzgl=37 i lp=112000</v>
      </c>
      <c r="AQ114" s="13" t="str">
        <f t="shared" si="32"/>
        <v>rokwzgl=38 i lp=112000</v>
      </c>
      <c r="AR114" s="13" t="str">
        <f t="shared" si="32"/>
        <v>rokwzgl=39 i lp=112000</v>
      </c>
    </row>
    <row r="115" spans="1:44">
      <c r="A115" s="29">
        <v>120000</v>
      </c>
      <c r="B115" s="12">
        <v>12</v>
      </c>
      <c r="C115" s="13" t="s">
        <v>192</v>
      </c>
      <c r="D115" s="13" t="str">
        <f t="shared" si="38"/>
        <v>rokwzgl=0 i lp=120000</v>
      </c>
      <c r="E115" s="13" t="str">
        <f t="shared" si="38"/>
        <v>rokwzgl=0 i lp=120000</v>
      </c>
      <c r="F115" s="13" t="str">
        <f t="shared" si="38"/>
        <v>rokwzgl=1 i lp=120000</v>
      </c>
      <c r="G115" s="13" t="str">
        <f t="shared" si="38"/>
        <v>rokwzgl=2 i lp=120000</v>
      </c>
      <c r="H115" s="13" t="str">
        <f t="shared" si="38"/>
        <v>rokwzgl=3 i lp=120000</v>
      </c>
      <c r="I115" s="13" t="str">
        <f t="shared" si="38"/>
        <v>rokwzgl=4 i lp=120000</v>
      </c>
      <c r="J115" s="13" t="str">
        <f t="shared" si="38"/>
        <v>rokwzgl=5 i lp=120000</v>
      </c>
      <c r="K115" s="13" t="str">
        <f t="shared" si="38"/>
        <v>rokwzgl=6 i lp=120000</v>
      </c>
      <c r="L115" s="13" t="str">
        <f t="shared" si="38"/>
        <v>rokwzgl=7 i lp=120000</v>
      </c>
      <c r="M115" s="13" t="str">
        <f t="shared" si="38"/>
        <v>rokwzgl=8 i lp=120000</v>
      </c>
      <c r="N115" s="13" t="str">
        <f t="shared" si="39"/>
        <v>rokwzgl=9 i lp=120000</v>
      </c>
      <c r="O115" s="13" t="str">
        <f t="shared" si="39"/>
        <v>rokwzgl=10 i lp=120000</v>
      </c>
      <c r="P115" s="13" t="str">
        <f t="shared" si="39"/>
        <v>rokwzgl=11 i lp=120000</v>
      </c>
      <c r="Q115" s="13" t="str">
        <f t="shared" si="39"/>
        <v>rokwzgl=12 i lp=120000</v>
      </c>
      <c r="R115" s="13" t="str">
        <f t="shared" si="39"/>
        <v>rokwzgl=13 i lp=120000</v>
      </c>
      <c r="S115" s="13" t="str">
        <f t="shared" si="39"/>
        <v>rokwzgl=14 i lp=120000</v>
      </c>
      <c r="T115" s="13" t="str">
        <f t="shared" si="39"/>
        <v>rokwzgl=15 i lp=120000</v>
      </c>
      <c r="U115" s="13" t="str">
        <f t="shared" si="39"/>
        <v>rokwzgl=16 i lp=120000</v>
      </c>
      <c r="V115" s="13" t="str">
        <f t="shared" si="39"/>
        <v>rokwzgl=17 i lp=120000</v>
      </c>
      <c r="W115" s="13" t="str">
        <f t="shared" si="39"/>
        <v>rokwzgl=18 i lp=120000</v>
      </c>
      <c r="X115" s="13" t="str">
        <f t="shared" si="37"/>
        <v>rokwzgl=19 i lp=120000</v>
      </c>
      <c r="Y115" s="13" t="str">
        <f t="shared" si="37"/>
        <v>rokwzgl=20 i lp=120000</v>
      </c>
      <c r="Z115" s="13" t="str">
        <f t="shared" si="37"/>
        <v>rokwzgl=21 i lp=120000</v>
      </c>
      <c r="AA115" s="13" t="str">
        <f t="shared" si="37"/>
        <v>rokwzgl=22 i lp=120000</v>
      </c>
      <c r="AB115" s="13" t="str">
        <f t="shared" si="37"/>
        <v>rokwzgl=23 i lp=120000</v>
      </c>
      <c r="AC115" s="13" t="str">
        <f t="shared" si="37"/>
        <v>rokwzgl=24 i lp=120000</v>
      </c>
      <c r="AD115" s="13" t="str">
        <f t="shared" si="37"/>
        <v>rokwzgl=25 i lp=120000</v>
      </c>
      <c r="AE115" s="13" t="str">
        <f t="shared" si="37"/>
        <v>rokwzgl=26 i lp=120000</v>
      </c>
      <c r="AF115" s="13" t="str">
        <f t="shared" si="37"/>
        <v>rokwzgl=27 i lp=120000</v>
      </c>
      <c r="AG115" s="13" t="str">
        <f t="shared" si="37"/>
        <v>rokwzgl=28 i lp=120000</v>
      </c>
      <c r="AH115" s="13" t="str">
        <f t="shared" si="37"/>
        <v>rokwzgl=29 i lp=120000</v>
      </c>
      <c r="AI115" s="13" t="str">
        <f t="shared" si="37"/>
        <v>rokwzgl=30 i lp=120000</v>
      </c>
      <c r="AJ115" s="13" t="str">
        <f t="shared" si="37"/>
        <v>rokwzgl=31 i lp=120000</v>
      </c>
      <c r="AK115" s="13" t="str">
        <f t="shared" si="37"/>
        <v>rokwzgl=32 i lp=120000</v>
      </c>
      <c r="AL115" s="13" t="str">
        <f t="shared" si="37"/>
        <v>rokwzgl=33 i lp=120000</v>
      </c>
      <c r="AM115" s="13" t="str">
        <f t="shared" si="37"/>
        <v>rokwzgl=34 i lp=120000</v>
      </c>
      <c r="AN115" s="13" t="str">
        <f t="shared" si="32"/>
        <v>rokwzgl=35 i lp=120000</v>
      </c>
      <c r="AO115" s="13" t="str">
        <f t="shared" si="32"/>
        <v>rokwzgl=36 i lp=120000</v>
      </c>
      <c r="AP115" s="13" t="str">
        <f t="shared" si="32"/>
        <v>rokwzgl=37 i lp=120000</v>
      </c>
      <c r="AQ115" s="13" t="str">
        <f t="shared" si="32"/>
        <v>rokwzgl=38 i lp=120000</v>
      </c>
      <c r="AR115" s="13" t="str">
        <f t="shared" si="32"/>
        <v>rokwzgl=39 i lp=120000</v>
      </c>
    </row>
    <row r="116" spans="1:44">
      <c r="A116" s="29">
        <v>121000</v>
      </c>
      <c r="B116" s="12" t="s">
        <v>68</v>
      </c>
      <c r="C116" s="13" t="s">
        <v>193</v>
      </c>
      <c r="D116" s="13" t="str">
        <f t="shared" si="38"/>
        <v>rokwzgl=0 i lp=121000</v>
      </c>
      <c r="E116" s="13" t="str">
        <f t="shared" si="38"/>
        <v>rokwzgl=0 i lp=121000</v>
      </c>
      <c r="F116" s="13" t="str">
        <f t="shared" si="38"/>
        <v>rokwzgl=1 i lp=121000</v>
      </c>
      <c r="G116" s="13" t="str">
        <f t="shared" si="38"/>
        <v>rokwzgl=2 i lp=121000</v>
      </c>
      <c r="H116" s="13" t="str">
        <f t="shared" si="38"/>
        <v>rokwzgl=3 i lp=121000</v>
      </c>
      <c r="I116" s="13" t="str">
        <f t="shared" si="38"/>
        <v>rokwzgl=4 i lp=121000</v>
      </c>
      <c r="J116" s="13" t="str">
        <f t="shared" si="38"/>
        <v>rokwzgl=5 i lp=121000</v>
      </c>
      <c r="K116" s="13" t="str">
        <f t="shared" si="38"/>
        <v>rokwzgl=6 i lp=121000</v>
      </c>
      <c r="L116" s="13" t="str">
        <f t="shared" si="38"/>
        <v>rokwzgl=7 i lp=121000</v>
      </c>
      <c r="M116" s="13" t="str">
        <f t="shared" si="38"/>
        <v>rokwzgl=8 i lp=121000</v>
      </c>
      <c r="N116" s="13" t="str">
        <f t="shared" si="39"/>
        <v>rokwzgl=9 i lp=121000</v>
      </c>
      <c r="O116" s="13" t="str">
        <f t="shared" si="39"/>
        <v>rokwzgl=10 i lp=121000</v>
      </c>
      <c r="P116" s="13" t="str">
        <f t="shared" si="39"/>
        <v>rokwzgl=11 i lp=121000</v>
      </c>
      <c r="Q116" s="13" t="str">
        <f t="shared" si="39"/>
        <v>rokwzgl=12 i lp=121000</v>
      </c>
      <c r="R116" s="13" t="str">
        <f t="shared" si="39"/>
        <v>rokwzgl=13 i lp=121000</v>
      </c>
      <c r="S116" s="13" t="str">
        <f t="shared" si="39"/>
        <v>rokwzgl=14 i lp=121000</v>
      </c>
      <c r="T116" s="13" t="str">
        <f t="shared" si="39"/>
        <v>rokwzgl=15 i lp=121000</v>
      </c>
      <c r="U116" s="13" t="str">
        <f t="shared" si="39"/>
        <v>rokwzgl=16 i lp=121000</v>
      </c>
      <c r="V116" s="13" t="str">
        <f t="shared" si="39"/>
        <v>rokwzgl=17 i lp=121000</v>
      </c>
      <c r="W116" s="13" t="str">
        <f t="shared" si="39"/>
        <v>rokwzgl=18 i lp=121000</v>
      </c>
      <c r="X116" s="13" t="str">
        <f t="shared" si="37"/>
        <v>rokwzgl=19 i lp=121000</v>
      </c>
      <c r="Y116" s="13" t="str">
        <f t="shared" si="37"/>
        <v>rokwzgl=20 i lp=121000</v>
      </c>
      <c r="Z116" s="13" t="str">
        <f t="shared" si="37"/>
        <v>rokwzgl=21 i lp=121000</v>
      </c>
      <c r="AA116" s="13" t="str">
        <f t="shared" si="37"/>
        <v>rokwzgl=22 i lp=121000</v>
      </c>
      <c r="AB116" s="13" t="str">
        <f t="shared" si="37"/>
        <v>rokwzgl=23 i lp=121000</v>
      </c>
      <c r="AC116" s="13" t="str">
        <f t="shared" si="37"/>
        <v>rokwzgl=24 i lp=121000</v>
      </c>
      <c r="AD116" s="13" t="str">
        <f t="shared" si="37"/>
        <v>rokwzgl=25 i lp=121000</v>
      </c>
      <c r="AE116" s="13" t="str">
        <f t="shared" si="37"/>
        <v>rokwzgl=26 i lp=121000</v>
      </c>
      <c r="AF116" s="13" t="str">
        <f t="shared" si="37"/>
        <v>rokwzgl=27 i lp=121000</v>
      </c>
      <c r="AG116" s="13" t="str">
        <f t="shared" si="37"/>
        <v>rokwzgl=28 i lp=121000</v>
      </c>
      <c r="AH116" s="13" t="str">
        <f t="shared" si="37"/>
        <v>rokwzgl=29 i lp=121000</v>
      </c>
      <c r="AI116" s="13" t="str">
        <f t="shared" si="37"/>
        <v>rokwzgl=30 i lp=121000</v>
      </c>
      <c r="AJ116" s="13" t="str">
        <f t="shared" si="37"/>
        <v>rokwzgl=31 i lp=121000</v>
      </c>
      <c r="AK116" s="13" t="str">
        <f t="shared" si="37"/>
        <v>rokwzgl=32 i lp=121000</v>
      </c>
      <c r="AL116" s="13" t="str">
        <f t="shared" si="37"/>
        <v>rokwzgl=33 i lp=121000</v>
      </c>
      <c r="AM116" s="13" t="str">
        <f t="shared" si="37"/>
        <v>rokwzgl=34 i lp=121000</v>
      </c>
      <c r="AN116" s="13" t="str">
        <f t="shared" si="32"/>
        <v>rokwzgl=35 i lp=121000</v>
      </c>
      <c r="AO116" s="13" t="str">
        <f t="shared" si="32"/>
        <v>rokwzgl=36 i lp=121000</v>
      </c>
      <c r="AP116" s="13" t="str">
        <f t="shared" si="32"/>
        <v>rokwzgl=37 i lp=121000</v>
      </c>
      <c r="AQ116" s="13" t="str">
        <f t="shared" si="32"/>
        <v>rokwzgl=38 i lp=121000</v>
      </c>
      <c r="AR116" s="13" t="str">
        <f t="shared" si="32"/>
        <v>rokwzgl=39 i lp=121000</v>
      </c>
    </row>
    <row r="117" spans="1:44">
      <c r="A117" s="29">
        <v>122000</v>
      </c>
      <c r="B117" s="12" t="s">
        <v>69</v>
      </c>
      <c r="C117" s="13" t="s">
        <v>194</v>
      </c>
      <c r="D117" s="13" t="str">
        <f t="shared" si="38"/>
        <v>rokwzgl=0 i lp=122000</v>
      </c>
      <c r="E117" s="13" t="str">
        <f t="shared" si="38"/>
        <v>rokwzgl=0 i lp=122000</v>
      </c>
      <c r="F117" s="13" t="str">
        <f t="shared" si="38"/>
        <v>rokwzgl=1 i lp=122000</v>
      </c>
      <c r="G117" s="13" t="str">
        <f t="shared" si="38"/>
        <v>rokwzgl=2 i lp=122000</v>
      </c>
      <c r="H117" s="13" t="str">
        <f t="shared" si="38"/>
        <v>rokwzgl=3 i lp=122000</v>
      </c>
      <c r="I117" s="13" t="str">
        <f t="shared" si="38"/>
        <v>rokwzgl=4 i lp=122000</v>
      </c>
      <c r="J117" s="13" t="str">
        <f t="shared" si="38"/>
        <v>rokwzgl=5 i lp=122000</v>
      </c>
      <c r="K117" s="13" t="str">
        <f t="shared" si="38"/>
        <v>rokwzgl=6 i lp=122000</v>
      </c>
      <c r="L117" s="13" t="str">
        <f t="shared" si="38"/>
        <v>rokwzgl=7 i lp=122000</v>
      </c>
      <c r="M117" s="13" t="str">
        <f t="shared" si="38"/>
        <v>rokwzgl=8 i lp=122000</v>
      </c>
      <c r="N117" s="13" t="str">
        <f t="shared" si="39"/>
        <v>rokwzgl=9 i lp=122000</v>
      </c>
      <c r="O117" s="13" t="str">
        <f t="shared" si="39"/>
        <v>rokwzgl=10 i lp=122000</v>
      </c>
      <c r="P117" s="13" t="str">
        <f t="shared" si="39"/>
        <v>rokwzgl=11 i lp=122000</v>
      </c>
      <c r="Q117" s="13" t="str">
        <f t="shared" si="39"/>
        <v>rokwzgl=12 i lp=122000</v>
      </c>
      <c r="R117" s="13" t="str">
        <f t="shared" si="39"/>
        <v>rokwzgl=13 i lp=122000</v>
      </c>
      <c r="S117" s="13" t="str">
        <f t="shared" si="39"/>
        <v>rokwzgl=14 i lp=122000</v>
      </c>
      <c r="T117" s="13" t="str">
        <f t="shared" si="39"/>
        <v>rokwzgl=15 i lp=122000</v>
      </c>
      <c r="U117" s="13" t="str">
        <f t="shared" si="39"/>
        <v>rokwzgl=16 i lp=122000</v>
      </c>
      <c r="V117" s="13" t="str">
        <f t="shared" si="39"/>
        <v>rokwzgl=17 i lp=122000</v>
      </c>
      <c r="W117" s="13" t="str">
        <f t="shared" si="39"/>
        <v>rokwzgl=18 i lp=122000</v>
      </c>
      <c r="X117" s="13" t="str">
        <f t="shared" si="37"/>
        <v>rokwzgl=19 i lp=122000</v>
      </c>
      <c r="Y117" s="13" t="str">
        <f t="shared" si="37"/>
        <v>rokwzgl=20 i lp=122000</v>
      </c>
      <c r="Z117" s="13" t="str">
        <f t="shared" si="37"/>
        <v>rokwzgl=21 i lp=122000</v>
      </c>
      <c r="AA117" s="13" t="str">
        <f t="shared" si="37"/>
        <v>rokwzgl=22 i lp=122000</v>
      </c>
      <c r="AB117" s="13" t="str">
        <f t="shared" si="37"/>
        <v>rokwzgl=23 i lp=122000</v>
      </c>
      <c r="AC117" s="13" t="str">
        <f t="shared" si="37"/>
        <v>rokwzgl=24 i lp=122000</v>
      </c>
      <c r="AD117" s="13" t="str">
        <f t="shared" ref="X117:AM118" si="40">+"rokwzgl="&amp;AD$9&amp;" i lp="&amp;$A117</f>
        <v>rokwzgl=25 i lp=122000</v>
      </c>
      <c r="AE117" s="13" t="str">
        <f t="shared" si="40"/>
        <v>rokwzgl=26 i lp=122000</v>
      </c>
      <c r="AF117" s="13" t="str">
        <f t="shared" si="40"/>
        <v>rokwzgl=27 i lp=122000</v>
      </c>
      <c r="AG117" s="13" t="str">
        <f t="shared" si="40"/>
        <v>rokwzgl=28 i lp=122000</v>
      </c>
      <c r="AH117" s="13" t="str">
        <f t="shared" si="40"/>
        <v>rokwzgl=29 i lp=122000</v>
      </c>
      <c r="AI117" s="13" t="str">
        <f t="shared" si="40"/>
        <v>rokwzgl=30 i lp=122000</v>
      </c>
      <c r="AJ117" s="13" t="str">
        <f t="shared" si="40"/>
        <v>rokwzgl=31 i lp=122000</v>
      </c>
      <c r="AK117" s="13" t="str">
        <f t="shared" si="40"/>
        <v>rokwzgl=32 i lp=122000</v>
      </c>
      <c r="AL117" s="13" t="str">
        <f t="shared" si="40"/>
        <v>rokwzgl=33 i lp=122000</v>
      </c>
      <c r="AM117" s="13" t="str">
        <f t="shared" si="40"/>
        <v>rokwzgl=34 i lp=122000</v>
      </c>
      <c r="AN117" s="13" t="str">
        <f t="shared" si="32"/>
        <v>rokwzgl=35 i lp=122000</v>
      </c>
      <c r="AO117" s="13" t="str">
        <f t="shared" si="32"/>
        <v>rokwzgl=36 i lp=122000</v>
      </c>
      <c r="AP117" s="13" t="str">
        <f t="shared" si="32"/>
        <v>rokwzgl=37 i lp=122000</v>
      </c>
      <c r="AQ117" s="13" t="str">
        <f t="shared" si="32"/>
        <v>rokwzgl=38 i lp=122000</v>
      </c>
      <c r="AR117" s="13" t="str">
        <f t="shared" si="32"/>
        <v>rokwzgl=39 i lp=122000</v>
      </c>
    </row>
    <row r="118" spans="1:44">
      <c r="A118" s="29">
        <v>123000</v>
      </c>
      <c r="B118" s="12" t="s">
        <v>70</v>
      </c>
      <c r="C118" s="13" t="s">
        <v>195</v>
      </c>
      <c r="D118" s="13" t="str">
        <f t="shared" si="38"/>
        <v>rokwzgl=0 i lp=123000</v>
      </c>
      <c r="E118" s="13" t="str">
        <f t="shared" si="38"/>
        <v>rokwzgl=0 i lp=123000</v>
      </c>
      <c r="F118" s="13" t="str">
        <f t="shared" si="38"/>
        <v>rokwzgl=1 i lp=123000</v>
      </c>
      <c r="G118" s="13" t="str">
        <f t="shared" si="38"/>
        <v>rokwzgl=2 i lp=123000</v>
      </c>
      <c r="H118" s="13" t="str">
        <f t="shared" si="38"/>
        <v>rokwzgl=3 i lp=123000</v>
      </c>
      <c r="I118" s="13" t="str">
        <f t="shared" si="38"/>
        <v>rokwzgl=4 i lp=123000</v>
      </c>
      <c r="J118" s="13" t="str">
        <f t="shared" si="38"/>
        <v>rokwzgl=5 i lp=123000</v>
      </c>
      <c r="K118" s="13" t="str">
        <f t="shared" si="38"/>
        <v>rokwzgl=6 i lp=123000</v>
      </c>
      <c r="L118" s="13" t="str">
        <f t="shared" si="38"/>
        <v>rokwzgl=7 i lp=123000</v>
      </c>
      <c r="M118" s="13" t="str">
        <f t="shared" si="38"/>
        <v>rokwzgl=8 i lp=123000</v>
      </c>
      <c r="N118" s="13" t="str">
        <f t="shared" si="39"/>
        <v>rokwzgl=9 i lp=123000</v>
      </c>
      <c r="O118" s="13" t="str">
        <f t="shared" si="39"/>
        <v>rokwzgl=10 i lp=123000</v>
      </c>
      <c r="P118" s="13" t="str">
        <f t="shared" si="39"/>
        <v>rokwzgl=11 i lp=123000</v>
      </c>
      <c r="Q118" s="13" t="str">
        <f t="shared" si="39"/>
        <v>rokwzgl=12 i lp=123000</v>
      </c>
      <c r="R118" s="13" t="str">
        <f t="shared" si="39"/>
        <v>rokwzgl=13 i lp=123000</v>
      </c>
      <c r="S118" s="13" t="str">
        <f t="shared" si="39"/>
        <v>rokwzgl=14 i lp=123000</v>
      </c>
      <c r="T118" s="13" t="str">
        <f t="shared" si="39"/>
        <v>rokwzgl=15 i lp=123000</v>
      </c>
      <c r="U118" s="13" t="str">
        <f t="shared" si="39"/>
        <v>rokwzgl=16 i lp=123000</v>
      </c>
      <c r="V118" s="13" t="str">
        <f t="shared" si="39"/>
        <v>rokwzgl=17 i lp=123000</v>
      </c>
      <c r="W118" s="13" t="str">
        <f t="shared" si="39"/>
        <v>rokwzgl=18 i lp=123000</v>
      </c>
      <c r="X118" s="13" t="str">
        <f t="shared" si="40"/>
        <v>rokwzgl=19 i lp=123000</v>
      </c>
      <c r="Y118" s="13" t="str">
        <f t="shared" si="40"/>
        <v>rokwzgl=20 i lp=123000</v>
      </c>
      <c r="Z118" s="13" t="str">
        <f t="shared" si="40"/>
        <v>rokwzgl=21 i lp=123000</v>
      </c>
      <c r="AA118" s="13" t="str">
        <f t="shared" si="40"/>
        <v>rokwzgl=22 i lp=123000</v>
      </c>
      <c r="AB118" s="13" t="str">
        <f t="shared" si="40"/>
        <v>rokwzgl=23 i lp=123000</v>
      </c>
      <c r="AC118" s="13" t="str">
        <f t="shared" si="40"/>
        <v>rokwzgl=24 i lp=123000</v>
      </c>
      <c r="AD118" s="13" t="str">
        <f t="shared" si="40"/>
        <v>rokwzgl=25 i lp=123000</v>
      </c>
      <c r="AE118" s="13" t="str">
        <f t="shared" si="40"/>
        <v>rokwzgl=26 i lp=123000</v>
      </c>
      <c r="AF118" s="13" t="str">
        <f t="shared" si="40"/>
        <v>rokwzgl=27 i lp=123000</v>
      </c>
      <c r="AG118" s="13" t="str">
        <f t="shared" si="40"/>
        <v>rokwzgl=28 i lp=123000</v>
      </c>
      <c r="AH118" s="13" t="str">
        <f t="shared" si="40"/>
        <v>rokwzgl=29 i lp=123000</v>
      </c>
      <c r="AI118" s="13" t="str">
        <f t="shared" si="40"/>
        <v>rokwzgl=30 i lp=123000</v>
      </c>
      <c r="AJ118" s="13" t="str">
        <f t="shared" si="40"/>
        <v>rokwzgl=31 i lp=123000</v>
      </c>
      <c r="AK118" s="13" t="str">
        <f t="shared" si="40"/>
        <v>rokwzgl=32 i lp=123000</v>
      </c>
      <c r="AL118" s="13" t="str">
        <f t="shared" si="40"/>
        <v>rokwzgl=33 i lp=123000</v>
      </c>
      <c r="AM118" s="13" t="str">
        <f t="shared" si="40"/>
        <v>rokwzgl=34 i lp=123000</v>
      </c>
      <c r="AN118" s="13" t="str">
        <f t="shared" si="32"/>
        <v>rokwzgl=35 i lp=123000</v>
      </c>
      <c r="AO118" s="13" t="str">
        <f t="shared" si="32"/>
        <v>rokwzgl=36 i lp=123000</v>
      </c>
      <c r="AP118" s="13" t="str">
        <f t="shared" si="32"/>
        <v>rokwzgl=37 i lp=123000</v>
      </c>
      <c r="AQ118" s="13" t="str">
        <f t="shared" si="32"/>
        <v>rokwzgl=38 i lp=123000</v>
      </c>
      <c r="AR118" s="13" t="str">
        <f t="shared" si="32"/>
        <v>rokwzgl=39 i lp=123000</v>
      </c>
    </row>
  </sheetData>
  <customSheetViews>
    <customSheetView guid="{9360F695-77C0-4418-82C5-829A762C44E9}" state="hidden">
      <selection activeCell="D9" sqref="D9"/>
      <pageMargins left="0.7" right="0.7" top="0.75" bottom="0.75" header="0.3" footer="0.3"/>
      <pageSetup paperSize="9" orientation="portrait" r:id="rId1"/>
    </customSheetView>
  </customSheetViews>
  <phoneticPr fontId="0" type="noConversion"/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5"/>
  <dimension ref="A1:Q1532"/>
  <sheetViews>
    <sheetView topLeftCell="C1" workbookViewId="0">
      <pane ySplit="6" topLeftCell="A7" activePane="bottomLeft" state="frozen"/>
      <selection activeCell="N3" sqref="M3:N3"/>
      <selection pane="bottomLeft" activeCell="Q7" sqref="Q7:Q1532"/>
    </sheetView>
  </sheetViews>
  <sheetFormatPr defaultRowHeight="14"/>
  <cols>
    <col min="2" max="2" width="12.5" customWidth="1"/>
    <col min="3" max="3" width="19.75" customWidth="1"/>
    <col min="7" max="7" width="6.25" customWidth="1"/>
    <col min="8" max="8" width="6.83203125" customWidth="1"/>
    <col min="9" max="9" width="11.25" customWidth="1"/>
    <col min="10" max="10" width="17.08203125" customWidth="1"/>
    <col min="12" max="12" width="9" customWidth="1"/>
    <col min="14" max="14" width="16.83203125" customWidth="1"/>
    <col min="17" max="17" width="10.75" customWidth="1"/>
  </cols>
  <sheetData>
    <row r="1" spans="1:17">
      <c r="A1" s="2" t="s">
        <v>20</v>
      </c>
      <c r="M1" s="86" t="s">
        <v>301</v>
      </c>
      <c r="N1" s="83">
        <f>MIN(M:M)</f>
        <v>2025</v>
      </c>
    </row>
    <row r="2" spans="1:17">
      <c r="A2" s="2"/>
      <c r="M2" s="86" t="s">
        <v>300</v>
      </c>
      <c r="N2" s="85">
        <f>MAX(M:M)</f>
        <v>2038</v>
      </c>
      <c r="P2" s="70"/>
    </row>
    <row r="3" spans="1:17">
      <c r="A3" s="2"/>
      <c r="M3" s="86" t="s">
        <v>351</v>
      </c>
      <c r="N3" s="92" t="str">
        <f>+"E20B"</f>
        <v>E20B</v>
      </c>
      <c r="O3" s="84" t="str">
        <f>+IF(ISERROR(VLOOKUP($N$3,definicja!$F$1:$I$5,3,FALSE)),"nieznany wzór WPF",VLOOKUP($N$3,definicja!$F$1:$I$5,3,FALSE))</f>
        <v/>
      </c>
      <c r="P3" s="70"/>
    </row>
    <row r="4" spans="1:17">
      <c r="M4" s="86" t="s">
        <v>361</v>
      </c>
      <c r="N4" s="92">
        <f>1</f>
        <v>1</v>
      </c>
      <c r="O4" s="84" t="str">
        <f>+IF(ISERROR(VLOOKUP($N$3,definicja!$F$1:$I$5,3,FALSE)),"nieznany wzór WPF",VLOOKUP($N$3,definicja!$F$1:$I$5,2,FALSE))</f>
        <v>Dz.U.2021.83/Dz.U.2024.1756</v>
      </c>
    </row>
    <row r="5" spans="1:17">
      <c r="O5" s="84"/>
    </row>
    <row r="6" spans="1:17" ht="14.5" thickBot="1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3" t="s">
        <v>11</v>
      </c>
      <c r="K6" s="3" t="s">
        <v>12</v>
      </c>
      <c r="L6" s="3" t="s">
        <v>99</v>
      </c>
      <c r="M6" s="3" t="s">
        <v>13</v>
      </c>
      <c r="N6" s="3" t="s">
        <v>14</v>
      </c>
      <c r="O6" s="3" t="s">
        <v>15</v>
      </c>
      <c r="P6" s="3" t="s">
        <v>16</v>
      </c>
      <c r="Q6" s="3" t="s">
        <v>110</v>
      </c>
    </row>
    <row r="7" spans="1:17">
      <c r="A7" s="7">
        <v>2025</v>
      </c>
      <c r="B7" s="8" t="s">
        <v>434</v>
      </c>
      <c r="C7" s="94" t="s">
        <v>435</v>
      </c>
      <c r="D7" s="95">
        <v>3215062</v>
      </c>
      <c r="E7" s="95">
        <v>2</v>
      </c>
      <c r="F7" s="95"/>
      <c r="G7" s="95">
        <v>94110</v>
      </c>
      <c r="H7" s="95" t="s">
        <v>218</v>
      </c>
      <c r="I7" s="95"/>
      <c r="J7" s="95" t="s">
        <v>169</v>
      </c>
      <c r="K7" s="95" t="b">
        <v>1</v>
      </c>
      <c r="L7" s="95">
        <v>0</v>
      </c>
      <c r="M7" s="96">
        <v>2025</v>
      </c>
      <c r="N7" s="97">
        <v>3749436.07</v>
      </c>
      <c r="O7" s="98">
        <v>46020</v>
      </c>
      <c r="P7" s="98">
        <v>46020</v>
      </c>
      <c r="Q7" s="99">
        <v>0</v>
      </c>
    </row>
    <row r="8" spans="1:17">
      <c r="A8" s="7">
        <v>2025</v>
      </c>
      <c r="B8" s="8" t="s">
        <v>434</v>
      </c>
      <c r="C8" s="94" t="s">
        <v>435</v>
      </c>
      <c r="D8" s="95">
        <v>3215062</v>
      </c>
      <c r="E8" s="95">
        <v>2</v>
      </c>
      <c r="F8" s="95"/>
      <c r="G8" s="95">
        <v>94110</v>
      </c>
      <c r="H8" s="95" t="s">
        <v>218</v>
      </c>
      <c r="I8" s="95"/>
      <c r="J8" s="95" t="s">
        <v>169</v>
      </c>
      <c r="K8" s="95" t="b">
        <v>1</v>
      </c>
      <c r="L8" s="95">
        <v>9</v>
      </c>
      <c r="M8" s="96">
        <v>2034</v>
      </c>
      <c r="N8" s="97">
        <v>0</v>
      </c>
      <c r="O8" s="98">
        <v>46020</v>
      </c>
      <c r="P8" s="98">
        <v>46020</v>
      </c>
      <c r="Q8" s="99">
        <v>0</v>
      </c>
    </row>
    <row r="9" spans="1:17">
      <c r="A9" s="7">
        <v>2025</v>
      </c>
      <c r="B9" s="8" t="s">
        <v>434</v>
      </c>
      <c r="C9" s="94" t="s">
        <v>435</v>
      </c>
      <c r="D9" s="95">
        <v>3215062</v>
      </c>
      <c r="E9" s="95">
        <v>2</v>
      </c>
      <c r="F9" s="95"/>
      <c r="G9" s="95">
        <v>94110</v>
      </c>
      <c r="H9" s="95" t="s">
        <v>218</v>
      </c>
      <c r="I9" s="95"/>
      <c r="J9" s="95" t="s">
        <v>169</v>
      </c>
      <c r="K9" s="95" t="b">
        <v>1</v>
      </c>
      <c r="L9" s="95">
        <v>10</v>
      </c>
      <c r="M9" s="96">
        <v>2035</v>
      </c>
      <c r="N9" s="97">
        <v>0</v>
      </c>
      <c r="O9" s="98">
        <v>46020</v>
      </c>
      <c r="P9" s="98">
        <v>46020</v>
      </c>
      <c r="Q9" s="99">
        <v>0</v>
      </c>
    </row>
    <row r="10" spans="1:17">
      <c r="A10" s="7">
        <v>2025</v>
      </c>
      <c r="B10" s="8" t="s">
        <v>434</v>
      </c>
      <c r="C10" s="94" t="s">
        <v>435</v>
      </c>
      <c r="D10" s="95">
        <v>3215062</v>
      </c>
      <c r="E10" s="95">
        <v>2</v>
      </c>
      <c r="F10" s="95"/>
      <c r="G10" s="95">
        <v>94110</v>
      </c>
      <c r="H10" s="95" t="s">
        <v>218</v>
      </c>
      <c r="I10" s="95"/>
      <c r="J10" s="95" t="s">
        <v>169</v>
      </c>
      <c r="K10" s="95" t="b">
        <v>1</v>
      </c>
      <c r="L10" s="95">
        <v>5</v>
      </c>
      <c r="M10" s="96">
        <v>2030</v>
      </c>
      <c r="N10" s="97">
        <v>630000</v>
      </c>
      <c r="O10" s="98">
        <v>46020</v>
      </c>
      <c r="P10" s="98">
        <v>46020</v>
      </c>
      <c r="Q10" s="99">
        <v>0</v>
      </c>
    </row>
    <row r="11" spans="1:17">
      <c r="A11" s="7">
        <v>2025</v>
      </c>
      <c r="B11" s="8" t="s">
        <v>434</v>
      </c>
      <c r="C11" s="94" t="s">
        <v>435</v>
      </c>
      <c r="D11" s="95">
        <v>3215062</v>
      </c>
      <c r="E11" s="95">
        <v>2</v>
      </c>
      <c r="F11" s="95"/>
      <c r="G11" s="95">
        <v>94110</v>
      </c>
      <c r="H11" s="95" t="s">
        <v>218</v>
      </c>
      <c r="I11" s="95"/>
      <c r="J11" s="95" t="s">
        <v>169</v>
      </c>
      <c r="K11" s="95" t="b">
        <v>1</v>
      </c>
      <c r="L11" s="95">
        <v>2</v>
      </c>
      <c r="M11" s="96">
        <v>2027</v>
      </c>
      <c r="N11" s="97">
        <v>6170696.4800000004</v>
      </c>
      <c r="O11" s="98">
        <v>46020</v>
      </c>
      <c r="P11" s="98">
        <v>46020</v>
      </c>
      <c r="Q11" s="99">
        <v>0</v>
      </c>
    </row>
    <row r="12" spans="1:17">
      <c r="A12" s="7">
        <v>2025</v>
      </c>
      <c r="B12" s="8" t="s">
        <v>434</v>
      </c>
      <c r="C12" s="94" t="s">
        <v>435</v>
      </c>
      <c r="D12" s="95">
        <v>3215062</v>
      </c>
      <c r="E12" s="95">
        <v>2</v>
      </c>
      <c r="F12" s="95"/>
      <c r="G12" s="95">
        <v>94110</v>
      </c>
      <c r="H12" s="95" t="s">
        <v>218</v>
      </c>
      <c r="I12" s="95"/>
      <c r="J12" s="95" t="s">
        <v>169</v>
      </c>
      <c r="K12" s="95" t="b">
        <v>1</v>
      </c>
      <c r="L12" s="95">
        <v>11</v>
      </c>
      <c r="M12" s="96">
        <v>2036</v>
      </c>
      <c r="N12" s="97">
        <v>0</v>
      </c>
      <c r="O12" s="98">
        <v>46020</v>
      </c>
      <c r="P12" s="98">
        <v>46020</v>
      </c>
      <c r="Q12" s="99">
        <v>0</v>
      </c>
    </row>
    <row r="13" spans="1:17">
      <c r="A13" s="7">
        <v>2025</v>
      </c>
      <c r="B13" s="8" t="s">
        <v>434</v>
      </c>
      <c r="C13" s="94" t="s">
        <v>435</v>
      </c>
      <c r="D13" s="95">
        <v>3215062</v>
      </c>
      <c r="E13" s="95">
        <v>2</v>
      </c>
      <c r="F13" s="95"/>
      <c r="G13" s="95">
        <v>94110</v>
      </c>
      <c r="H13" s="95" t="s">
        <v>218</v>
      </c>
      <c r="I13" s="95"/>
      <c r="J13" s="95" t="s">
        <v>169</v>
      </c>
      <c r="K13" s="95" t="b">
        <v>1</v>
      </c>
      <c r="L13" s="95">
        <v>1</v>
      </c>
      <c r="M13" s="96">
        <v>2026</v>
      </c>
      <c r="N13" s="97">
        <v>7341182.4299999997</v>
      </c>
      <c r="O13" s="98">
        <v>46020</v>
      </c>
      <c r="P13" s="98">
        <v>46020</v>
      </c>
      <c r="Q13" s="99">
        <v>0</v>
      </c>
    </row>
    <row r="14" spans="1:17">
      <c r="A14" s="7">
        <v>2025</v>
      </c>
      <c r="B14" s="8" t="s">
        <v>434</v>
      </c>
      <c r="C14" s="94" t="s">
        <v>435</v>
      </c>
      <c r="D14" s="95">
        <v>3215062</v>
      </c>
      <c r="E14" s="95">
        <v>2</v>
      </c>
      <c r="F14" s="95"/>
      <c r="G14" s="95">
        <v>94110</v>
      </c>
      <c r="H14" s="95" t="s">
        <v>218</v>
      </c>
      <c r="I14" s="95"/>
      <c r="J14" s="95" t="s">
        <v>169</v>
      </c>
      <c r="K14" s="95" t="b">
        <v>1</v>
      </c>
      <c r="L14" s="95">
        <v>3</v>
      </c>
      <c r="M14" s="96">
        <v>2028</v>
      </c>
      <c r="N14" s="97">
        <v>1275000</v>
      </c>
      <c r="O14" s="98">
        <v>46020</v>
      </c>
      <c r="P14" s="98">
        <v>46020</v>
      </c>
      <c r="Q14" s="99">
        <v>0</v>
      </c>
    </row>
    <row r="15" spans="1:17">
      <c r="A15" s="7">
        <v>2025</v>
      </c>
      <c r="B15" s="8" t="s">
        <v>434</v>
      </c>
      <c r="C15" s="94" t="s">
        <v>435</v>
      </c>
      <c r="D15" s="95">
        <v>3215062</v>
      </c>
      <c r="E15" s="95">
        <v>2</v>
      </c>
      <c r="F15" s="95"/>
      <c r="G15" s="95">
        <v>94110</v>
      </c>
      <c r="H15" s="95" t="s">
        <v>218</v>
      </c>
      <c r="I15" s="95"/>
      <c r="J15" s="95" t="s">
        <v>169</v>
      </c>
      <c r="K15" s="95" t="b">
        <v>1</v>
      </c>
      <c r="L15" s="95">
        <v>4</v>
      </c>
      <c r="M15" s="96">
        <v>2029</v>
      </c>
      <c r="N15" s="97">
        <v>0</v>
      </c>
      <c r="O15" s="98">
        <v>46020</v>
      </c>
      <c r="P15" s="98">
        <v>46020</v>
      </c>
      <c r="Q15" s="99">
        <v>0</v>
      </c>
    </row>
    <row r="16" spans="1:17">
      <c r="A16" s="7">
        <v>2025</v>
      </c>
      <c r="B16" s="8" t="s">
        <v>434</v>
      </c>
      <c r="C16" s="94" t="s">
        <v>435</v>
      </c>
      <c r="D16" s="95">
        <v>3215062</v>
      </c>
      <c r="E16" s="95">
        <v>2</v>
      </c>
      <c r="F16" s="95"/>
      <c r="G16" s="95">
        <v>94110</v>
      </c>
      <c r="H16" s="95" t="s">
        <v>218</v>
      </c>
      <c r="I16" s="95"/>
      <c r="J16" s="95" t="s">
        <v>169</v>
      </c>
      <c r="K16" s="95" t="b">
        <v>1</v>
      </c>
      <c r="L16" s="95">
        <v>6</v>
      </c>
      <c r="M16" s="96">
        <v>2031</v>
      </c>
      <c r="N16" s="97">
        <v>0</v>
      </c>
      <c r="O16" s="98">
        <v>46020</v>
      </c>
      <c r="P16" s="98">
        <v>46020</v>
      </c>
      <c r="Q16" s="99">
        <v>0</v>
      </c>
    </row>
    <row r="17" spans="1:17">
      <c r="A17" s="7">
        <v>2025</v>
      </c>
      <c r="B17" s="8" t="s">
        <v>434</v>
      </c>
      <c r="C17" s="94" t="s">
        <v>435</v>
      </c>
      <c r="D17" s="95">
        <v>3215062</v>
      </c>
      <c r="E17" s="95">
        <v>2</v>
      </c>
      <c r="F17" s="95"/>
      <c r="G17" s="95">
        <v>94110</v>
      </c>
      <c r="H17" s="95" t="s">
        <v>218</v>
      </c>
      <c r="I17" s="95"/>
      <c r="J17" s="95" t="s">
        <v>169</v>
      </c>
      <c r="K17" s="95" t="b">
        <v>1</v>
      </c>
      <c r="L17" s="95">
        <v>12</v>
      </c>
      <c r="M17" s="96">
        <v>2037</v>
      </c>
      <c r="N17" s="97">
        <v>0</v>
      </c>
      <c r="O17" s="98">
        <v>46020</v>
      </c>
      <c r="P17" s="98">
        <v>46020</v>
      </c>
      <c r="Q17" s="99">
        <v>0</v>
      </c>
    </row>
    <row r="18" spans="1:17">
      <c r="A18" s="7">
        <v>2025</v>
      </c>
      <c r="B18" s="8" t="s">
        <v>434</v>
      </c>
      <c r="C18" s="94" t="s">
        <v>435</v>
      </c>
      <c r="D18" s="95">
        <v>3215062</v>
      </c>
      <c r="E18" s="95">
        <v>2</v>
      </c>
      <c r="F18" s="95"/>
      <c r="G18" s="95">
        <v>94110</v>
      </c>
      <c r="H18" s="95" t="s">
        <v>218</v>
      </c>
      <c r="I18" s="95"/>
      <c r="J18" s="95" t="s">
        <v>169</v>
      </c>
      <c r="K18" s="95" t="b">
        <v>1</v>
      </c>
      <c r="L18" s="95">
        <v>13</v>
      </c>
      <c r="M18" s="96">
        <v>2038</v>
      </c>
      <c r="N18" s="97">
        <v>0</v>
      </c>
      <c r="O18" s="98">
        <v>46020</v>
      </c>
      <c r="P18" s="98">
        <v>46020</v>
      </c>
      <c r="Q18" s="99">
        <v>0</v>
      </c>
    </row>
    <row r="19" spans="1:17">
      <c r="A19" s="7">
        <v>2025</v>
      </c>
      <c r="B19" s="8" t="s">
        <v>434</v>
      </c>
      <c r="C19" s="94" t="s">
        <v>435</v>
      </c>
      <c r="D19" s="95">
        <v>3215062</v>
      </c>
      <c r="E19" s="95">
        <v>2</v>
      </c>
      <c r="F19" s="95"/>
      <c r="G19" s="95">
        <v>94110</v>
      </c>
      <c r="H19" s="95" t="s">
        <v>218</v>
      </c>
      <c r="I19" s="95"/>
      <c r="J19" s="95" t="s">
        <v>169</v>
      </c>
      <c r="K19" s="95" t="b">
        <v>1</v>
      </c>
      <c r="L19" s="95">
        <v>7</v>
      </c>
      <c r="M19" s="96">
        <v>2032</v>
      </c>
      <c r="N19" s="97">
        <v>0</v>
      </c>
      <c r="O19" s="98">
        <v>46020</v>
      </c>
      <c r="P19" s="98">
        <v>46020</v>
      </c>
      <c r="Q19" s="99">
        <v>0</v>
      </c>
    </row>
    <row r="20" spans="1:17">
      <c r="A20" s="7">
        <v>2025</v>
      </c>
      <c r="B20" s="8" t="s">
        <v>434</v>
      </c>
      <c r="C20" s="94" t="s">
        <v>435</v>
      </c>
      <c r="D20" s="95">
        <v>3215062</v>
      </c>
      <c r="E20" s="95">
        <v>2</v>
      </c>
      <c r="F20" s="95"/>
      <c r="G20" s="95">
        <v>94110</v>
      </c>
      <c r="H20" s="95" t="s">
        <v>218</v>
      </c>
      <c r="I20" s="95"/>
      <c r="J20" s="95" t="s">
        <v>169</v>
      </c>
      <c r="K20" s="95" t="b">
        <v>1</v>
      </c>
      <c r="L20" s="95">
        <v>8</v>
      </c>
      <c r="M20" s="96">
        <v>2033</v>
      </c>
      <c r="N20" s="97">
        <v>0</v>
      </c>
      <c r="O20" s="98">
        <v>46020</v>
      </c>
      <c r="P20" s="98">
        <v>46020</v>
      </c>
      <c r="Q20" s="99">
        <v>0</v>
      </c>
    </row>
    <row r="21" spans="1:17">
      <c r="A21" s="7">
        <v>2025</v>
      </c>
      <c r="B21" s="8" t="s">
        <v>434</v>
      </c>
      <c r="C21" s="94" t="s">
        <v>435</v>
      </c>
      <c r="D21" s="95">
        <v>3215062</v>
      </c>
      <c r="E21" s="95">
        <v>2</v>
      </c>
      <c r="F21" s="95"/>
      <c r="G21" s="95">
        <v>11400</v>
      </c>
      <c r="H21" s="95" t="s">
        <v>30</v>
      </c>
      <c r="I21" s="95"/>
      <c r="J21" s="95" t="s">
        <v>115</v>
      </c>
      <c r="K21" s="95" t="b">
        <v>1</v>
      </c>
      <c r="L21" s="95">
        <v>13</v>
      </c>
      <c r="M21" s="96">
        <v>2038</v>
      </c>
      <c r="N21" s="97">
        <v>13199146</v>
      </c>
      <c r="O21" s="98">
        <v>46020</v>
      </c>
      <c r="P21" s="98">
        <v>46020</v>
      </c>
      <c r="Q21" s="99">
        <v>0</v>
      </c>
    </row>
    <row r="22" spans="1:17">
      <c r="A22" s="7">
        <v>2025</v>
      </c>
      <c r="B22" s="8" t="s">
        <v>434</v>
      </c>
      <c r="C22" s="94" t="s">
        <v>435</v>
      </c>
      <c r="D22" s="95">
        <v>3215062</v>
      </c>
      <c r="E22" s="95">
        <v>2</v>
      </c>
      <c r="F22" s="95"/>
      <c r="G22" s="95">
        <v>11400</v>
      </c>
      <c r="H22" s="95" t="s">
        <v>30</v>
      </c>
      <c r="I22" s="95"/>
      <c r="J22" s="95" t="s">
        <v>115</v>
      </c>
      <c r="K22" s="95" t="b">
        <v>1</v>
      </c>
      <c r="L22" s="95">
        <v>0</v>
      </c>
      <c r="M22" s="96">
        <v>2025</v>
      </c>
      <c r="N22" s="97">
        <v>13370945.960000001</v>
      </c>
      <c r="O22" s="98">
        <v>46020</v>
      </c>
      <c r="P22" s="98">
        <v>46020</v>
      </c>
      <c r="Q22" s="99">
        <v>0</v>
      </c>
    </row>
    <row r="23" spans="1:17">
      <c r="A23" s="7">
        <v>2025</v>
      </c>
      <c r="B23" s="8" t="s">
        <v>434</v>
      </c>
      <c r="C23" s="94" t="s">
        <v>435</v>
      </c>
      <c r="D23" s="95">
        <v>3215062</v>
      </c>
      <c r="E23" s="95">
        <v>2</v>
      </c>
      <c r="F23" s="95"/>
      <c r="G23" s="95">
        <v>11400</v>
      </c>
      <c r="H23" s="95" t="s">
        <v>30</v>
      </c>
      <c r="I23" s="95"/>
      <c r="J23" s="95" t="s">
        <v>115</v>
      </c>
      <c r="K23" s="95" t="b">
        <v>1</v>
      </c>
      <c r="L23" s="95">
        <v>10</v>
      </c>
      <c r="M23" s="96">
        <v>2035</v>
      </c>
      <c r="N23" s="97">
        <v>12256720</v>
      </c>
      <c r="O23" s="98">
        <v>46020</v>
      </c>
      <c r="P23" s="98">
        <v>46020</v>
      </c>
      <c r="Q23" s="99">
        <v>0</v>
      </c>
    </row>
    <row r="24" spans="1:17">
      <c r="A24" s="7">
        <v>2025</v>
      </c>
      <c r="B24" s="8" t="s">
        <v>434</v>
      </c>
      <c r="C24" s="94" t="s">
        <v>435</v>
      </c>
      <c r="D24" s="95">
        <v>3215062</v>
      </c>
      <c r="E24" s="95">
        <v>2</v>
      </c>
      <c r="F24" s="95"/>
      <c r="G24" s="95">
        <v>11400</v>
      </c>
      <c r="H24" s="95" t="s">
        <v>30</v>
      </c>
      <c r="I24" s="95"/>
      <c r="J24" s="95" t="s">
        <v>115</v>
      </c>
      <c r="K24" s="95" t="b">
        <v>1</v>
      </c>
      <c r="L24" s="95">
        <v>11</v>
      </c>
      <c r="M24" s="96">
        <v>2036</v>
      </c>
      <c r="N24" s="97">
        <v>12563138</v>
      </c>
      <c r="O24" s="98">
        <v>46020</v>
      </c>
      <c r="P24" s="98">
        <v>46020</v>
      </c>
      <c r="Q24" s="99">
        <v>0</v>
      </c>
    </row>
    <row r="25" spans="1:17">
      <c r="A25" s="7">
        <v>2025</v>
      </c>
      <c r="B25" s="8" t="s">
        <v>434</v>
      </c>
      <c r="C25" s="94" t="s">
        <v>435</v>
      </c>
      <c r="D25" s="95">
        <v>3215062</v>
      </c>
      <c r="E25" s="95">
        <v>2</v>
      </c>
      <c r="F25" s="95"/>
      <c r="G25" s="95">
        <v>11400</v>
      </c>
      <c r="H25" s="95" t="s">
        <v>30</v>
      </c>
      <c r="I25" s="95"/>
      <c r="J25" s="95" t="s">
        <v>115</v>
      </c>
      <c r="K25" s="95" t="b">
        <v>1</v>
      </c>
      <c r="L25" s="95">
        <v>8</v>
      </c>
      <c r="M25" s="96">
        <v>2033</v>
      </c>
      <c r="N25" s="97">
        <v>11666123</v>
      </c>
      <c r="O25" s="98">
        <v>46020</v>
      </c>
      <c r="P25" s="98">
        <v>46020</v>
      </c>
      <c r="Q25" s="99">
        <v>0</v>
      </c>
    </row>
    <row r="26" spans="1:17">
      <c r="A26" s="7">
        <v>2025</v>
      </c>
      <c r="B26" s="8" t="s">
        <v>434</v>
      </c>
      <c r="C26" s="94" t="s">
        <v>435</v>
      </c>
      <c r="D26" s="95">
        <v>3215062</v>
      </c>
      <c r="E26" s="95">
        <v>2</v>
      </c>
      <c r="F26" s="95"/>
      <c r="G26" s="95">
        <v>11400</v>
      </c>
      <c r="H26" s="95" t="s">
        <v>30</v>
      </c>
      <c r="I26" s="95"/>
      <c r="J26" s="95" t="s">
        <v>115</v>
      </c>
      <c r="K26" s="95" t="b">
        <v>1</v>
      </c>
      <c r="L26" s="95">
        <v>12</v>
      </c>
      <c r="M26" s="96">
        <v>2037</v>
      </c>
      <c r="N26" s="97">
        <v>12877216</v>
      </c>
      <c r="O26" s="98">
        <v>46020</v>
      </c>
      <c r="P26" s="98">
        <v>46020</v>
      </c>
      <c r="Q26" s="99">
        <v>0</v>
      </c>
    </row>
    <row r="27" spans="1:17">
      <c r="A27" s="7">
        <v>2025</v>
      </c>
      <c r="B27" s="8" t="s">
        <v>434</v>
      </c>
      <c r="C27" s="94" t="s">
        <v>435</v>
      </c>
      <c r="D27" s="95">
        <v>3215062</v>
      </c>
      <c r="E27" s="95">
        <v>2</v>
      </c>
      <c r="F27" s="95"/>
      <c r="G27" s="95">
        <v>11400</v>
      </c>
      <c r="H27" s="95" t="s">
        <v>30</v>
      </c>
      <c r="I27" s="95"/>
      <c r="J27" s="95" t="s">
        <v>115</v>
      </c>
      <c r="K27" s="95" t="b">
        <v>1</v>
      </c>
      <c r="L27" s="95">
        <v>5</v>
      </c>
      <c r="M27" s="96">
        <v>2030</v>
      </c>
      <c r="N27" s="97">
        <v>10833154</v>
      </c>
      <c r="O27" s="98">
        <v>46020</v>
      </c>
      <c r="P27" s="98">
        <v>46020</v>
      </c>
      <c r="Q27" s="99">
        <v>0</v>
      </c>
    </row>
    <row r="28" spans="1:17">
      <c r="A28" s="7">
        <v>2025</v>
      </c>
      <c r="B28" s="8" t="s">
        <v>434</v>
      </c>
      <c r="C28" s="94" t="s">
        <v>435</v>
      </c>
      <c r="D28" s="95">
        <v>3215062</v>
      </c>
      <c r="E28" s="95">
        <v>2</v>
      </c>
      <c r="F28" s="95"/>
      <c r="G28" s="95">
        <v>11400</v>
      </c>
      <c r="H28" s="95" t="s">
        <v>30</v>
      </c>
      <c r="I28" s="95"/>
      <c r="J28" s="95" t="s">
        <v>115</v>
      </c>
      <c r="K28" s="95" t="b">
        <v>1</v>
      </c>
      <c r="L28" s="95">
        <v>9</v>
      </c>
      <c r="M28" s="96">
        <v>2034</v>
      </c>
      <c r="N28" s="97">
        <v>11957776</v>
      </c>
      <c r="O28" s="98">
        <v>46020</v>
      </c>
      <c r="P28" s="98">
        <v>46020</v>
      </c>
      <c r="Q28" s="99">
        <v>0</v>
      </c>
    </row>
    <row r="29" spans="1:17">
      <c r="A29" s="7">
        <v>2025</v>
      </c>
      <c r="B29" s="8" t="s">
        <v>434</v>
      </c>
      <c r="C29" s="94" t="s">
        <v>435</v>
      </c>
      <c r="D29" s="95">
        <v>3215062</v>
      </c>
      <c r="E29" s="95">
        <v>2</v>
      </c>
      <c r="F29" s="95"/>
      <c r="G29" s="95">
        <v>11400</v>
      </c>
      <c r="H29" s="95" t="s">
        <v>30</v>
      </c>
      <c r="I29" s="95"/>
      <c r="J29" s="95" t="s">
        <v>115</v>
      </c>
      <c r="K29" s="95" t="b">
        <v>1</v>
      </c>
      <c r="L29" s="95">
        <v>7</v>
      </c>
      <c r="M29" s="96">
        <v>2032</v>
      </c>
      <c r="N29" s="97">
        <v>11381583</v>
      </c>
      <c r="O29" s="98">
        <v>46020</v>
      </c>
      <c r="P29" s="98">
        <v>46020</v>
      </c>
      <c r="Q29" s="99">
        <v>0</v>
      </c>
    </row>
    <row r="30" spans="1:17">
      <c r="A30" s="7">
        <v>2025</v>
      </c>
      <c r="B30" s="8" t="s">
        <v>434</v>
      </c>
      <c r="C30" s="94" t="s">
        <v>435</v>
      </c>
      <c r="D30" s="95">
        <v>3215062</v>
      </c>
      <c r="E30" s="95">
        <v>2</v>
      </c>
      <c r="F30" s="95"/>
      <c r="G30" s="95">
        <v>11400</v>
      </c>
      <c r="H30" s="95" t="s">
        <v>30</v>
      </c>
      <c r="I30" s="95"/>
      <c r="J30" s="95" t="s">
        <v>115</v>
      </c>
      <c r="K30" s="95" t="b">
        <v>1</v>
      </c>
      <c r="L30" s="95">
        <v>6</v>
      </c>
      <c r="M30" s="96">
        <v>2031</v>
      </c>
      <c r="N30" s="97">
        <v>11103983</v>
      </c>
      <c r="O30" s="98">
        <v>46020</v>
      </c>
      <c r="P30" s="98">
        <v>46020</v>
      </c>
      <c r="Q30" s="99">
        <v>0</v>
      </c>
    </row>
    <row r="31" spans="1:17">
      <c r="A31" s="7">
        <v>2025</v>
      </c>
      <c r="B31" s="8" t="s">
        <v>434</v>
      </c>
      <c r="C31" s="94" t="s">
        <v>435</v>
      </c>
      <c r="D31" s="95">
        <v>3215062</v>
      </c>
      <c r="E31" s="95">
        <v>2</v>
      </c>
      <c r="F31" s="95"/>
      <c r="G31" s="95">
        <v>11400</v>
      </c>
      <c r="H31" s="95" t="s">
        <v>30</v>
      </c>
      <c r="I31" s="95"/>
      <c r="J31" s="95" t="s">
        <v>115</v>
      </c>
      <c r="K31" s="95" t="b">
        <v>1</v>
      </c>
      <c r="L31" s="95">
        <v>2</v>
      </c>
      <c r="M31" s="96">
        <v>2027</v>
      </c>
      <c r="N31" s="97">
        <v>10001032</v>
      </c>
      <c r="O31" s="98">
        <v>46020</v>
      </c>
      <c r="P31" s="98">
        <v>46020</v>
      </c>
      <c r="Q31" s="99">
        <v>0</v>
      </c>
    </row>
    <row r="32" spans="1:17">
      <c r="A32" s="7">
        <v>2025</v>
      </c>
      <c r="B32" s="8" t="s">
        <v>434</v>
      </c>
      <c r="C32" s="94" t="s">
        <v>435</v>
      </c>
      <c r="D32" s="95">
        <v>3215062</v>
      </c>
      <c r="E32" s="95">
        <v>2</v>
      </c>
      <c r="F32" s="95"/>
      <c r="G32" s="95">
        <v>11400</v>
      </c>
      <c r="H32" s="95" t="s">
        <v>30</v>
      </c>
      <c r="I32" s="95"/>
      <c r="J32" s="95" t="s">
        <v>115</v>
      </c>
      <c r="K32" s="95" t="b">
        <v>1</v>
      </c>
      <c r="L32" s="95">
        <v>4</v>
      </c>
      <c r="M32" s="96">
        <v>2029</v>
      </c>
      <c r="N32" s="97">
        <v>10568931</v>
      </c>
      <c r="O32" s="98">
        <v>46020</v>
      </c>
      <c r="P32" s="98">
        <v>46020</v>
      </c>
      <c r="Q32" s="99">
        <v>0</v>
      </c>
    </row>
    <row r="33" spans="1:17">
      <c r="A33" s="7">
        <v>2025</v>
      </c>
      <c r="B33" s="8" t="s">
        <v>434</v>
      </c>
      <c r="C33" s="94" t="s">
        <v>435</v>
      </c>
      <c r="D33" s="95">
        <v>3215062</v>
      </c>
      <c r="E33" s="95">
        <v>2</v>
      </c>
      <c r="F33" s="95"/>
      <c r="G33" s="95">
        <v>11400</v>
      </c>
      <c r="H33" s="95" t="s">
        <v>30</v>
      </c>
      <c r="I33" s="95"/>
      <c r="J33" s="95" t="s">
        <v>115</v>
      </c>
      <c r="K33" s="95" t="b">
        <v>1</v>
      </c>
      <c r="L33" s="95">
        <v>1</v>
      </c>
      <c r="M33" s="96">
        <v>2026</v>
      </c>
      <c r="N33" s="97">
        <v>12212822</v>
      </c>
      <c r="O33" s="98">
        <v>46020</v>
      </c>
      <c r="P33" s="98">
        <v>46020</v>
      </c>
      <c r="Q33" s="99">
        <v>0</v>
      </c>
    </row>
    <row r="34" spans="1:17">
      <c r="A34" s="7">
        <v>2025</v>
      </c>
      <c r="B34" s="8" t="s">
        <v>434</v>
      </c>
      <c r="C34" s="94" t="s">
        <v>435</v>
      </c>
      <c r="D34" s="95">
        <v>3215062</v>
      </c>
      <c r="E34" s="95">
        <v>2</v>
      </c>
      <c r="F34" s="95"/>
      <c r="G34" s="95">
        <v>11400</v>
      </c>
      <c r="H34" s="95" t="s">
        <v>30</v>
      </c>
      <c r="I34" s="95"/>
      <c r="J34" s="95" t="s">
        <v>115</v>
      </c>
      <c r="K34" s="95" t="b">
        <v>1</v>
      </c>
      <c r="L34" s="95">
        <v>3</v>
      </c>
      <c r="M34" s="96">
        <v>2028</v>
      </c>
      <c r="N34" s="97">
        <v>10281061</v>
      </c>
      <c r="O34" s="98">
        <v>46020</v>
      </c>
      <c r="P34" s="98">
        <v>46020</v>
      </c>
      <c r="Q34" s="99">
        <v>0</v>
      </c>
    </row>
    <row r="35" spans="1:17">
      <c r="A35" s="7">
        <v>2025</v>
      </c>
      <c r="B35" s="8" t="s">
        <v>434</v>
      </c>
      <c r="C35" s="94" t="s">
        <v>435</v>
      </c>
      <c r="D35" s="95">
        <v>3215062</v>
      </c>
      <c r="E35" s="95">
        <v>2</v>
      </c>
      <c r="F35" s="95"/>
      <c r="G35" s="95">
        <v>108000</v>
      </c>
      <c r="H35" s="95">
        <v>10.8</v>
      </c>
      <c r="I35" s="95"/>
      <c r="J35" s="95" t="s">
        <v>187</v>
      </c>
      <c r="K35" s="95" t="b">
        <v>1</v>
      </c>
      <c r="L35" s="95">
        <v>0</v>
      </c>
      <c r="M35" s="96">
        <v>2025</v>
      </c>
      <c r="N35" s="97">
        <v>0</v>
      </c>
      <c r="O35" s="98">
        <v>46020</v>
      </c>
      <c r="P35" s="98">
        <v>46020</v>
      </c>
      <c r="Q35" s="99">
        <v>0</v>
      </c>
    </row>
    <row r="36" spans="1:17">
      <c r="A36" s="7">
        <v>2025</v>
      </c>
      <c r="B36" s="8" t="s">
        <v>434</v>
      </c>
      <c r="C36" s="94" t="s">
        <v>435</v>
      </c>
      <c r="D36" s="95">
        <v>3215062</v>
      </c>
      <c r="E36" s="95">
        <v>2</v>
      </c>
      <c r="F36" s="95"/>
      <c r="G36" s="95">
        <v>108000</v>
      </c>
      <c r="H36" s="95">
        <v>10.8</v>
      </c>
      <c r="I36" s="95"/>
      <c r="J36" s="95" t="s">
        <v>187</v>
      </c>
      <c r="K36" s="95" t="b">
        <v>1</v>
      </c>
      <c r="L36" s="95">
        <v>3</v>
      </c>
      <c r="M36" s="96">
        <v>2028</v>
      </c>
      <c r="N36" s="97">
        <v>0</v>
      </c>
      <c r="O36" s="98">
        <v>46020</v>
      </c>
      <c r="P36" s="98">
        <v>46020</v>
      </c>
      <c r="Q36" s="99">
        <v>0</v>
      </c>
    </row>
    <row r="37" spans="1:17">
      <c r="A37" s="7">
        <v>2025</v>
      </c>
      <c r="B37" s="8" t="s">
        <v>434</v>
      </c>
      <c r="C37" s="94" t="s">
        <v>435</v>
      </c>
      <c r="D37" s="95">
        <v>3215062</v>
      </c>
      <c r="E37" s="95">
        <v>2</v>
      </c>
      <c r="F37" s="95"/>
      <c r="G37" s="95">
        <v>108000</v>
      </c>
      <c r="H37" s="95">
        <v>10.8</v>
      </c>
      <c r="I37" s="95"/>
      <c r="J37" s="95" t="s">
        <v>187</v>
      </c>
      <c r="K37" s="95" t="b">
        <v>1</v>
      </c>
      <c r="L37" s="95">
        <v>1</v>
      </c>
      <c r="M37" s="96">
        <v>2026</v>
      </c>
      <c r="N37" s="97">
        <v>0</v>
      </c>
      <c r="O37" s="98">
        <v>46020</v>
      </c>
      <c r="P37" s="98">
        <v>46020</v>
      </c>
      <c r="Q37" s="99">
        <v>0</v>
      </c>
    </row>
    <row r="38" spans="1:17">
      <c r="A38" s="7">
        <v>2025</v>
      </c>
      <c r="B38" s="8" t="s">
        <v>434</v>
      </c>
      <c r="C38" s="94" t="s">
        <v>435</v>
      </c>
      <c r="D38" s="95">
        <v>3215062</v>
      </c>
      <c r="E38" s="95">
        <v>2</v>
      </c>
      <c r="F38" s="95"/>
      <c r="G38" s="95">
        <v>108000</v>
      </c>
      <c r="H38" s="95">
        <v>10.8</v>
      </c>
      <c r="I38" s="95"/>
      <c r="J38" s="95" t="s">
        <v>187</v>
      </c>
      <c r="K38" s="95" t="b">
        <v>1</v>
      </c>
      <c r="L38" s="95">
        <v>7</v>
      </c>
      <c r="M38" s="96">
        <v>2032</v>
      </c>
      <c r="N38" s="97">
        <v>0</v>
      </c>
      <c r="O38" s="98">
        <v>46020</v>
      </c>
      <c r="P38" s="98">
        <v>46020</v>
      </c>
      <c r="Q38" s="99">
        <v>0</v>
      </c>
    </row>
    <row r="39" spans="1:17">
      <c r="A39" s="7">
        <v>2025</v>
      </c>
      <c r="B39" s="8" t="s">
        <v>434</v>
      </c>
      <c r="C39" s="94" t="s">
        <v>435</v>
      </c>
      <c r="D39" s="95">
        <v>3215062</v>
      </c>
      <c r="E39" s="95">
        <v>2</v>
      </c>
      <c r="F39" s="95"/>
      <c r="G39" s="95">
        <v>108000</v>
      </c>
      <c r="H39" s="95">
        <v>10.8</v>
      </c>
      <c r="I39" s="95"/>
      <c r="J39" s="95" t="s">
        <v>187</v>
      </c>
      <c r="K39" s="95" t="b">
        <v>1</v>
      </c>
      <c r="L39" s="95">
        <v>4</v>
      </c>
      <c r="M39" s="96">
        <v>2029</v>
      </c>
      <c r="N39" s="97">
        <v>0</v>
      </c>
      <c r="O39" s="98">
        <v>46020</v>
      </c>
      <c r="P39" s="98">
        <v>46020</v>
      </c>
      <c r="Q39" s="99">
        <v>0</v>
      </c>
    </row>
    <row r="40" spans="1:17">
      <c r="A40" s="7">
        <v>2025</v>
      </c>
      <c r="B40" s="8" t="s">
        <v>434</v>
      </c>
      <c r="C40" s="94" t="s">
        <v>435</v>
      </c>
      <c r="D40" s="95">
        <v>3215062</v>
      </c>
      <c r="E40" s="95">
        <v>2</v>
      </c>
      <c r="F40" s="95"/>
      <c r="G40" s="95">
        <v>108000</v>
      </c>
      <c r="H40" s="95">
        <v>10.8</v>
      </c>
      <c r="I40" s="95"/>
      <c r="J40" s="95" t="s">
        <v>187</v>
      </c>
      <c r="K40" s="95" t="b">
        <v>1</v>
      </c>
      <c r="L40" s="95">
        <v>12</v>
      </c>
      <c r="M40" s="96">
        <v>2037</v>
      </c>
      <c r="N40" s="97">
        <v>0</v>
      </c>
      <c r="O40" s="98">
        <v>46020</v>
      </c>
      <c r="P40" s="98">
        <v>46020</v>
      </c>
      <c r="Q40" s="99">
        <v>0</v>
      </c>
    </row>
    <row r="41" spans="1:17">
      <c r="A41" s="7">
        <v>2025</v>
      </c>
      <c r="B41" s="8" t="s">
        <v>434</v>
      </c>
      <c r="C41" s="94" t="s">
        <v>435</v>
      </c>
      <c r="D41" s="95">
        <v>3215062</v>
      </c>
      <c r="E41" s="95">
        <v>2</v>
      </c>
      <c r="F41" s="95"/>
      <c r="G41" s="95">
        <v>108000</v>
      </c>
      <c r="H41" s="95">
        <v>10.8</v>
      </c>
      <c r="I41" s="95"/>
      <c r="J41" s="95" t="s">
        <v>187</v>
      </c>
      <c r="K41" s="95" t="b">
        <v>1</v>
      </c>
      <c r="L41" s="95">
        <v>11</v>
      </c>
      <c r="M41" s="96">
        <v>2036</v>
      </c>
      <c r="N41" s="97">
        <v>0</v>
      </c>
      <c r="O41" s="98">
        <v>46020</v>
      </c>
      <c r="P41" s="98">
        <v>46020</v>
      </c>
      <c r="Q41" s="99">
        <v>0</v>
      </c>
    </row>
    <row r="42" spans="1:17">
      <c r="A42" s="7">
        <v>2025</v>
      </c>
      <c r="B42" s="8" t="s">
        <v>434</v>
      </c>
      <c r="C42" s="94" t="s">
        <v>435</v>
      </c>
      <c r="D42" s="95">
        <v>3215062</v>
      </c>
      <c r="E42" s="95">
        <v>2</v>
      </c>
      <c r="F42" s="95"/>
      <c r="G42" s="95">
        <v>108000</v>
      </c>
      <c r="H42" s="95">
        <v>10.8</v>
      </c>
      <c r="I42" s="95"/>
      <c r="J42" s="95" t="s">
        <v>187</v>
      </c>
      <c r="K42" s="95" t="b">
        <v>1</v>
      </c>
      <c r="L42" s="95">
        <v>13</v>
      </c>
      <c r="M42" s="96">
        <v>2038</v>
      </c>
      <c r="N42" s="97">
        <v>0</v>
      </c>
      <c r="O42" s="98">
        <v>46020</v>
      </c>
      <c r="P42" s="98">
        <v>46020</v>
      </c>
      <c r="Q42" s="99">
        <v>0</v>
      </c>
    </row>
    <row r="43" spans="1:17">
      <c r="A43" s="7">
        <v>2025</v>
      </c>
      <c r="B43" s="8" t="s">
        <v>434</v>
      </c>
      <c r="C43" s="94" t="s">
        <v>435</v>
      </c>
      <c r="D43" s="95">
        <v>3215062</v>
      </c>
      <c r="E43" s="95">
        <v>2</v>
      </c>
      <c r="F43" s="95"/>
      <c r="G43" s="95">
        <v>108000</v>
      </c>
      <c r="H43" s="95">
        <v>10.8</v>
      </c>
      <c r="I43" s="95"/>
      <c r="J43" s="95" t="s">
        <v>187</v>
      </c>
      <c r="K43" s="95" t="b">
        <v>1</v>
      </c>
      <c r="L43" s="95">
        <v>2</v>
      </c>
      <c r="M43" s="96">
        <v>2027</v>
      </c>
      <c r="N43" s="97">
        <v>0</v>
      </c>
      <c r="O43" s="98">
        <v>46020</v>
      </c>
      <c r="P43" s="98">
        <v>46020</v>
      </c>
      <c r="Q43" s="99">
        <v>0</v>
      </c>
    </row>
    <row r="44" spans="1:17">
      <c r="A44" s="7">
        <v>2025</v>
      </c>
      <c r="B44" s="8" t="s">
        <v>434</v>
      </c>
      <c r="C44" s="94" t="s">
        <v>435</v>
      </c>
      <c r="D44" s="95">
        <v>3215062</v>
      </c>
      <c r="E44" s="95">
        <v>2</v>
      </c>
      <c r="F44" s="95"/>
      <c r="G44" s="95">
        <v>108000</v>
      </c>
      <c r="H44" s="95">
        <v>10.8</v>
      </c>
      <c r="I44" s="95"/>
      <c r="J44" s="95" t="s">
        <v>187</v>
      </c>
      <c r="K44" s="95" t="b">
        <v>1</v>
      </c>
      <c r="L44" s="95">
        <v>8</v>
      </c>
      <c r="M44" s="96">
        <v>2033</v>
      </c>
      <c r="N44" s="97">
        <v>0</v>
      </c>
      <c r="O44" s="98">
        <v>46020</v>
      </c>
      <c r="P44" s="98">
        <v>46020</v>
      </c>
      <c r="Q44" s="99">
        <v>0</v>
      </c>
    </row>
    <row r="45" spans="1:17">
      <c r="A45" s="7">
        <v>2025</v>
      </c>
      <c r="B45" s="8" t="s">
        <v>434</v>
      </c>
      <c r="C45" s="94" t="s">
        <v>435</v>
      </c>
      <c r="D45" s="95">
        <v>3215062</v>
      </c>
      <c r="E45" s="95">
        <v>2</v>
      </c>
      <c r="F45" s="95"/>
      <c r="G45" s="95">
        <v>108000</v>
      </c>
      <c r="H45" s="95">
        <v>10.8</v>
      </c>
      <c r="I45" s="95"/>
      <c r="J45" s="95" t="s">
        <v>187</v>
      </c>
      <c r="K45" s="95" t="b">
        <v>1</v>
      </c>
      <c r="L45" s="95">
        <v>6</v>
      </c>
      <c r="M45" s="96">
        <v>2031</v>
      </c>
      <c r="N45" s="97">
        <v>0</v>
      </c>
      <c r="O45" s="98">
        <v>46020</v>
      </c>
      <c r="P45" s="98">
        <v>46020</v>
      </c>
      <c r="Q45" s="99">
        <v>0</v>
      </c>
    </row>
    <row r="46" spans="1:17">
      <c r="A46" s="7">
        <v>2025</v>
      </c>
      <c r="B46" s="8" t="s">
        <v>434</v>
      </c>
      <c r="C46" s="94" t="s">
        <v>435</v>
      </c>
      <c r="D46" s="95">
        <v>3215062</v>
      </c>
      <c r="E46" s="95">
        <v>2</v>
      </c>
      <c r="F46" s="95"/>
      <c r="G46" s="95">
        <v>108000</v>
      </c>
      <c r="H46" s="95">
        <v>10.8</v>
      </c>
      <c r="I46" s="95"/>
      <c r="J46" s="95" t="s">
        <v>187</v>
      </c>
      <c r="K46" s="95" t="b">
        <v>1</v>
      </c>
      <c r="L46" s="95">
        <v>10</v>
      </c>
      <c r="M46" s="96">
        <v>2035</v>
      </c>
      <c r="N46" s="97">
        <v>0</v>
      </c>
      <c r="O46" s="98">
        <v>46020</v>
      </c>
      <c r="P46" s="98">
        <v>46020</v>
      </c>
      <c r="Q46" s="99">
        <v>0</v>
      </c>
    </row>
    <row r="47" spans="1:17">
      <c r="A47" s="7">
        <v>2025</v>
      </c>
      <c r="B47" s="8" t="s">
        <v>434</v>
      </c>
      <c r="C47" s="94" t="s">
        <v>435</v>
      </c>
      <c r="D47" s="95">
        <v>3215062</v>
      </c>
      <c r="E47" s="95">
        <v>2</v>
      </c>
      <c r="F47" s="95"/>
      <c r="G47" s="95">
        <v>108000</v>
      </c>
      <c r="H47" s="95">
        <v>10.8</v>
      </c>
      <c r="I47" s="95"/>
      <c r="J47" s="95" t="s">
        <v>187</v>
      </c>
      <c r="K47" s="95" t="b">
        <v>1</v>
      </c>
      <c r="L47" s="95">
        <v>9</v>
      </c>
      <c r="M47" s="96">
        <v>2034</v>
      </c>
      <c r="N47" s="97">
        <v>0</v>
      </c>
      <c r="O47" s="98">
        <v>46020</v>
      </c>
      <c r="P47" s="98">
        <v>46020</v>
      </c>
      <c r="Q47" s="99">
        <v>0</v>
      </c>
    </row>
    <row r="48" spans="1:17">
      <c r="A48" s="7">
        <v>2025</v>
      </c>
      <c r="B48" s="8" t="s">
        <v>434</v>
      </c>
      <c r="C48" s="94" t="s">
        <v>435</v>
      </c>
      <c r="D48" s="95">
        <v>3215062</v>
      </c>
      <c r="E48" s="95">
        <v>2</v>
      </c>
      <c r="F48" s="95"/>
      <c r="G48" s="95">
        <v>108000</v>
      </c>
      <c r="H48" s="95">
        <v>10.8</v>
      </c>
      <c r="I48" s="95"/>
      <c r="J48" s="95" t="s">
        <v>187</v>
      </c>
      <c r="K48" s="95" t="b">
        <v>1</v>
      </c>
      <c r="L48" s="95">
        <v>5</v>
      </c>
      <c r="M48" s="96">
        <v>2030</v>
      </c>
      <c r="N48" s="97">
        <v>0</v>
      </c>
      <c r="O48" s="98">
        <v>46020</v>
      </c>
      <c r="P48" s="98">
        <v>46020</v>
      </c>
      <c r="Q48" s="99">
        <v>0</v>
      </c>
    </row>
    <row r="49" spans="1:17">
      <c r="A49" s="7">
        <v>2025</v>
      </c>
      <c r="B49" s="8" t="s">
        <v>434</v>
      </c>
      <c r="C49" s="94" t="s">
        <v>435</v>
      </c>
      <c r="D49" s="95">
        <v>3215062</v>
      </c>
      <c r="E49" s="95">
        <v>2</v>
      </c>
      <c r="F49" s="95"/>
      <c r="G49" s="95">
        <v>11000</v>
      </c>
      <c r="H49" s="95">
        <v>1.1000000000000001</v>
      </c>
      <c r="I49" s="95"/>
      <c r="J49" s="95" t="s">
        <v>111</v>
      </c>
      <c r="K49" s="95" t="b">
        <v>1</v>
      </c>
      <c r="L49" s="95">
        <v>1</v>
      </c>
      <c r="M49" s="96">
        <v>2026</v>
      </c>
      <c r="N49" s="97">
        <v>60547017</v>
      </c>
      <c r="O49" s="98">
        <v>46020</v>
      </c>
      <c r="P49" s="98">
        <v>46020</v>
      </c>
      <c r="Q49" s="99">
        <v>0</v>
      </c>
    </row>
    <row r="50" spans="1:17">
      <c r="A50" s="7">
        <v>2025</v>
      </c>
      <c r="B50" s="8" t="s">
        <v>434</v>
      </c>
      <c r="C50" s="94" t="s">
        <v>435</v>
      </c>
      <c r="D50" s="95">
        <v>3215062</v>
      </c>
      <c r="E50" s="95">
        <v>2</v>
      </c>
      <c r="F50" s="95"/>
      <c r="G50" s="95">
        <v>11000</v>
      </c>
      <c r="H50" s="95">
        <v>1.1000000000000001</v>
      </c>
      <c r="I50" s="95"/>
      <c r="J50" s="95" t="s">
        <v>111</v>
      </c>
      <c r="K50" s="95" t="b">
        <v>1</v>
      </c>
      <c r="L50" s="95">
        <v>3</v>
      </c>
      <c r="M50" s="96">
        <v>2028</v>
      </c>
      <c r="N50" s="97">
        <v>60275055</v>
      </c>
      <c r="O50" s="98">
        <v>46020</v>
      </c>
      <c r="P50" s="98">
        <v>46020</v>
      </c>
      <c r="Q50" s="99">
        <v>0</v>
      </c>
    </row>
    <row r="51" spans="1:17">
      <c r="A51" s="7">
        <v>2025</v>
      </c>
      <c r="B51" s="8" t="s">
        <v>434</v>
      </c>
      <c r="C51" s="94" t="s">
        <v>435</v>
      </c>
      <c r="D51" s="95">
        <v>3215062</v>
      </c>
      <c r="E51" s="95">
        <v>2</v>
      </c>
      <c r="F51" s="95"/>
      <c r="G51" s="95">
        <v>11000</v>
      </c>
      <c r="H51" s="95">
        <v>1.1000000000000001</v>
      </c>
      <c r="I51" s="95"/>
      <c r="J51" s="95" t="s">
        <v>111</v>
      </c>
      <c r="K51" s="95" t="b">
        <v>1</v>
      </c>
      <c r="L51" s="95">
        <v>11</v>
      </c>
      <c r="M51" s="96">
        <v>2036</v>
      </c>
      <c r="N51" s="97">
        <v>73426777</v>
      </c>
      <c r="O51" s="98">
        <v>46020</v>
      </c>
      <c r="P51" s="98">
        <v>46020</v>
      </c>
      <c r="Q51" s="99">
        <v>0</v>
      </c>
    </row>
    <row r="52" spans="1:17">
      <c r="A52" s="7">
        <v>2025</v>
      </c>
      <c r="B52" s="8" t="s">
        <v>434</v>
      </c>
      <c r="C52" s="94" t="s">
        <v>435</v>
      </c>
      <c r="D52" s="95">
        <v>3215062</v>
      </c>
      <c r="E52" s="95">
        <v>2</v>
      </c>
      <c r="F52" s="95"/>
      <c r="G52" s="95">
        <v>11000</v>
      </c>
      <c r="H52" s="95">
        <v>1.1000000000000001</v>
      </c>
      <c r="I52" s="95"/>
      <c r="J52" s="95" t="s">
        <v>111</v>
      </c>
      <c r="K52" s="95" t="b">
        <v>1</v>
      </c>
      <c r="L52" s="95">
        <v>4</v>
      </c>
      <c r="M52" s="96">
        <v>2029</v>
      </c>
      <c r="N52" s="97">
        <v>61957545</v>
      </c>
      <c r="O52" s="98">
        <v>46020</v>
      </c>
      <c r="P52" s="98">
        <v>46020</v>
      </c>
      <c r="Q52" s="99">
        <v>0</v>
      </c>
    </row>
    <row r="53" spans="1:17">
      <c r="A53" s="7">
        <v>2025</v>
      </c>
      <c r="B53" s="8" t="s">
        <v>434</v>
      </c>
      <c r="C53" s="94" t="s">
        <v>435</v>
      </c>
      <c r="D53" s="95">
        <v>3215062</v>
      </c>
      <c r="E53" s="95">
        <v>2</v>
      </c>
      <c r="F53" s="95"/>
      <c r="G53" s="95">
        <v>11000</v>
      </c>
      <c r="H53" s="95">
        <v>1.1000000000000001</v>
      </c>
      <c r="I53" s="95"/>
      <c r="J53" s="95" t="s">
        <v>111</v>
      </c>
      <c r="K53" s="95" t="b">
        <v>1</v>
      </c>
      <c r="L53" s="95">
        <v>12</v>
      </c>
      <c r="M53" s="96">
        <v>2037</v>
      </c>
      <c r="N53" s="97">
        <v>75262447</v>
      </c>
      <c r="O53" s="98">
        <v>46020</v>
      </c>
      <c r="P53" s="98">
        <v>46020</v>
      </c>
      <c r="Q53" s="99">
        <v>0</v>
      </c>
    </row>
    <row r="54" spans="1:17">
      <c r="A54" s="7">
        <v>2025</v>
      </c>
      <c r="B54" s="8" t="s">
        <v>434</v>
      </c>
      <c r="C54" s="94" t="s">
        <v>435</v>
      </c>
      <c r="D54" s="95">
        <v>3215062</v>
      </c>
      <c r="E54" s="95">
        <v>2</v>
      </c>
      <c r="F54" s="95"/>
      <c r="G54" s="95">
        <v>11000</v>
      </c>
      <c r="H54" s="95">
        <v>1.1000000000000001</v>
      </c>
      <c r="I54" s="95"/>
      <c r="J54" s="95" t="s">
        <v>111</v>
      </c>
      <c r="K54" s="95" t="b">
        <v>1</v>
      </c>
      <c r="L54" s="95">
        <v>10</v>
      </c>
      <c r="M54" s="96">
        <v>2035</v>
      </c>
      <c r="N54" s="97">
        <v>71822029</v>
      </c>
      <c r="O54" s="98">
        <v>46020</v>
      </c>
      <c r="P54" s="98">
        <v>46020</v>
      </c>
      <c r="Q54" s="99">
        <v>0</v>
      </c>
    </row>
    <row r="55" spans="1:17">
      <c r="A55" s="7">
        <v>2025</v>
      </c>
      <c r="B55" s="8" t="s">
        <v>434</v>
      </c>
      <c r="C55" s="94" t="s">
        <v>435</v>
      </c>
      <c r="D55" s="95">
        <v>3215062</v>
      </c>
      <c r="E55" s="95">
        <v>2</v>
      </c>
      <c r="F55" s="95"/>
      <c r="G55" s="95">
        <v>11000</v>
      </c>
      <c r="H55" s="95">
        <v>1.1000000000000001</v>
      </c>
      <c r="I55" s="95"/>
      <c r="J55" s="95" t="s">
        <v>111</v>
      </c>
      <c r="K55" s="95" t="b">
        <v>1</v>
      </c>
      <c r="L55" s="95">
        <v>13</v>
      </c>
      <c r="M55" s="96">
        <v>2038</v>
      </c>
      <c r="N55" s="97">
        <v>77144008</v>
      </c>
      <c r="O55" s="98">
        <v>46020</v>
      </c>
      <c r="P55" s="98">
        <v>46020</v>
      </c>
      <c r="Q55" s="99">
        <v>0</v>
      </c>
    </row>
    <row r="56" spans="1:17">
      <c r="A56" s="7">
        <v>2025</v>
      </c>
      <c r="B56" s="8" t="s">
        <v>434</v>
      </c>
      <c r="C56" s="94" t="s">
        <v>435</v>
      </c>
      <c r="D56" s="95">
        <v>3215062</v>
      </c>
      <c r="E56" s="95">
        <v>2</v>
      </c>
      <c r="F56" s="95"/>
      <c r="G56" s="95">
        <v>11000</v>
      </c>
      <c r="H56" s="95">
        <v>1.1000000000000001</v>
      </c>
      <c r="I56" s="95"/>
      <c r="J56" s="95" t="s">
        <v>111</v>
      </c>
      <c r="K56" s="95" t="b">
        <v>1</v>
      </c>
      <c r="L56" s="95">
        <v>7</v>
      </c>
      <c r="M56" s="96">
        <v>2032</v>
      </c>
      <c r="N56" s="97">
        <v>66707186</v>
      </c>
      <c r="O56" s="98">
        <v>46020</v>
      </c>
      <c r="P56" s="98">
        <v>46020</v>
      </c>
      <c r="Q56" s="99">
        <v>0</v>
      </c>
    </row>
    <row r="57" spans="1:17">
      <c r="A57" s="7">
        <v>2025</v>
      </c>
      <c r="B57" s="8" t="s">
        <v>434</v>
      </c>
      <c r="C57" s="94" t="s">
        <v>435</v>
      </c>
      <c r="D57" s="95">
        <v>3215062</v>
      </c>
      <c r="E57" s="95">
        <v>2</v>
      </c>
      <c r="F57" s="95"/>
      <c r="G57" s="95">
        <v>11000</v>
      </c>
      <c r="H57" s="95">
        <v>1.1000000000000001</v>
      </c>
      <c r="I57" s="95"/>
      <c r="J57" s="95" t="s">
        <v>111</v>
      </c>
      <c r="K57" s="95" t="b">
        <v>1</v>
      </c>
      <c r="L57" s="95">
        <v>0</v>
      </c>
      <c r="M57" s="96">
        <v>2025</v>
      </c>
      <c r="N57" s="97">
        <v>59814045.380000003</v>
      </c>
      <c r="O57" s="98">
        <v>46020</v>
      </c>
      <c r="P57" s="98">
        <v>46020</v>
      </c>
      <c r="Q57" s="99">
        <v>0</v>
      </c>
    </row>
    <row r="58" spans="1:17">
      <c r="A58" s="7">
        <v>2025</v>
      </c>
      <c r="B58" s="8" t="s">
        <v>434</v>
      </c>
      <c r="C58" s="94" t="s">
        <v>435</v>
      </c>
      <c r="D58" s="95">
        <v>3215062</v>
      </c>
      <c r="E58" s="95">
        <v>2</v>
      </c>
      <c r="F58" s="95"/>
      <c r="G58" s="95">
        <v>11000</v>
      </c>
      <c r="H58" s="95">
        <v>1.1000000000000001</v>
      </c>
      <c r="I58" s="95"/>
      <c r="J58" s="95" t="s">
        <v>111</v>
      </c>
      <c r="K58" s="95" t="b">
        <v>1</v>
      </c>
      <c r="L58" s="95">
        <v>2</v>
      </c>
      <c r="M58" s="96">
        <v>2027</v>
      </c>
      <c r="N58" s="97">
        <v>58371267</v>
      </c>
      <c r="O58" s="98">
        <v>46020</v>
      </c>
      <c r="P58" s="98">
        <v>46020</v>
      </c>
      <c r="Q58" s="99">
        <v>0</v>
      </c>
    </row>
    <row r="59" spans="1:17">
      <c r="A59" s="7">
        <v>2025</v>
      </c>
      <c r="B59" s="8" t="s">
        <v>434</v>
      </c>
      <c r="C59" s="94" t="s">
        <v>435</v>
      </c>
      <c r="D59" s="95">
        <v>3215062</v>
      </c>
      <c r="E59" s="95">
        <v>2</v>
      </c>
      <c r="F59" s="95"/>
      <c r="G59" s="95">
        <v>11000</v>
      </c>
      <c r="H59" s="95">
        <v>1.1000000000000001</v>
      </c>
      <c r="I59" s="95"/>
      <c r="J59" s="95" t="s">
        <v>111</v>
      </c>
      <c r="K59" s="95" t="b">
        <v>1</v>
      </c>
      <c r="L59" s="95">
        <v>6</v>
      </c>
      <c r="M59" s="96">
        <v>2031</v>
      </c>
      <c r="N59" s="97">
        <v>65084721</v>
      </c>
      <c r="O59" s="98">
        <v>46020</v>
      </c>
      <c r="P59" s="98">
        <v>46020</v>
      </c>
      <c r="Q59" s="99">
        <v>0</v>
      </c>
    </row>
    <row r="60" spans="1:17">
      <c r="A60" s="7">
        <v>2025</v>
      </c>
      <c r="B60" s="8" t="s">
        <v>434</v>
      </c>
      <c r="C60" s="94" t="s">
        <v>435</v>
      </c>
      <c r="D60" s="95">
        <v>3215062</v>
      </c>
      <c r="E60" s="95">
        <v>2</v>
      </c>
      <c r="F60" s="95"/>
      <c r="G60" s="95">
        <v>11000</v>
      </c>
      <c r="H60" s="95">
        <v>1.1000000000000001</v>
      </c>
      <c r="I60" s="95"/>
      <c r="J60" s="95" t="s">
        <v>111</v>
      </c>
      <c r="K60" s="95" t="b">
        <v>1</v>
      </c>
      <c r="L60" s="95">
        <v>5</v>
      </c>
      <c r="M60" s="96">
        <v>2030</v>
      </c>
      <c r="N60" s="97">
        <v>63501830</v>
      </c>
      <c r="O60" s="98">
        <v>46020</v>
      </c>
      <c r="P60" s="98">
        <v>46020</v>
      </c>
      <c r="Q60" s="99">
        <v>0</v>
      </c>
    </row>
    <row r="61" spans="1:17">
      <c r="A61" s="7">
        <v>2025</v>
      </c>
      <c r="B61" s="8" t="s">
        <v>434</v>
      </c>
      <c r="C61" s="94" t="s">
        <v>435</v>
      </c>
      <c r="D61" s="95">
        <v>3215062</v>
      </c>
      <c r="E61" s="95">
        <v>2</v>
      </c>
      <c r="F61" s="95"/>
      <c r="G61" s="95">
        <v>11000</v>
      </c>
      <c r="H61" s="95">
        <v>1.1000000000000001</v>
      </c>
      <c r="I61" s="95"/>
      <c r="J61" s="95" t="s">
        <v>111</v>
      </c>
      <c r="K61" s="95" t="b">
        <v>1</v>
      </c>
      <c r="L61" s="95">
        <v>8</v>
      </c>
      <c r="M61" s="96">
        <v>2033</v>
      </c>
      <c r="N61" s="97">
        <v>68370212</v>
      </c>
      <c r="O61" s="98">
        <v>46020</v>
      </c>
      <c r="P61" s="98">
        <v>46020</v>
      </c>
      <c r="Q61" s="99">
        <v>0</v>
      </c>
    </row>
    <row r="62" spans="1:17">
      <c r="A62" s="7">
        <v>2025</v>
      </c>
      <c r="B62" s="8" t="s">
        <v>434</v>
      </c>
      <c r="C62" s="94" t="s">
        <v>435</v>
      </c>
      <c r="D62" s="95">
        <v>3215062</v>
      </c>
      <c r="E62" s="95">
        <v>2</v>
      </c>
      <c r="F62" s="95"/>
      <c r="G62" s="95">
        <v>11000</v>
      </c>
      <c r="H62" s="95">
        <v>1.1000000000000001</v>
      </c>
      <c r="I62" s="95"/>
      <c r="J62" s="95" t="s">
        <v>111</v>
      </c>
      <c r="K62" s="95" t="b">
        <v>1</v>
      </c>
      <c r="L62" s="95">
        <v>9</v>
      </c>
      <c r="M62" s="96">
        <v>2034</v>
      </c>
      <c r="N62" s="97">
        <v>70074813</v>
      </c>
      <c r="O62" s="98">
        <v>46020</v>
      </c>
      <c r="P62" s="98">
        <v>46020</v>
      </c>
      <c r="Q62" s="99">
        <v>0</v>
      </c>
    </row>
    <row r="63" spans="1:17">
      <c r="A63" s="7">
        <v>2025</v>
      </c>
      <c r="B63" s="8" t="s">
        <v>434</v>
      </c>
      <c r="C63" s="94" t="s">
        <v>435</v>
      </c>
      <c r="D63" s="95">
        <v>3215062</v>
      </c>
      <c r="E63" s="95">
        <v>2</v>
      </c>
      <c r="F63" s="95"/>
      <c r="G63" s="95">
        <v>11200</v>
      </c>
      <c r="H63" s="95" t="s">
        <v>28</v>
      </c>
      <c r="I63" s="95"/>
      <c r="J63" s="95" t="s">
        <v>113</v>
      </c>
      <c r="K63" s="95" t="b">
        <v>1</v>
      </c>
      <c r="L63" s="95">
        <v>7</v>
      </c>
      <c r="M63" s="96">
        <v>2032</v>
      </c>
      <c r="N63" s="97">
        <v>307089</v>
      </c>
      <c r="O63" s="98">
        <v>46020</v>
      </c>
      <c r="P63" s="98">
        <v>46020</v>
      </c>
      <c r="Q63" s="99">
        <v>0</v>
      </c>
    </row>
    <row r="64" spans="1:17">
      <c r="A64" s="7">
        <v>2025</v>
      </c>
      <c r="B64" s="8" t="s">
        <v>434</v>
      </c>
      <c r="C64" s="94" t="s">
        <v>435</v>
      </c>
      <c r="D64" s="95">
        <v>3215062</v>
      </c>
      <c r="E64" s="95">
        <v>2</v>
      </c>
      <c r="F64" s="95"/>
      <c r="G64" s="95">
        <v>11200</v>
      </c>
      <c r="H64" s="95" t="s">
        <v>28</v>
      </c>
      <c r="I64" s="95"/>
      <c r="J64" s="95" t="s">
        <v>113</v>
      </c>
      <c r="K64" s="95" t="b">
        <v>1</v>
      </c>
      <c r="L64" s="95">
        <v>4</v>
      </c>
      <c r="M64" s="96">
        <v>2029</v>
      </c>
      <c r="N64" s="97">
        <v>285163</v>
      </c>
      <c r="O64" s="98">
        <v>46020</v>
      </c>
      <c r="P64" s="98">
        <v>46020</v>
      </c>
      <c r="Q64" s="99">
        <v>0</v>
      </c>
    </row>
    <row r="65" spans="1:17">
      <c r="A65" s="7">
        <v>2025</v>
      </c>
      <c r="B65" s="8" t="s">
        <v>434</v>
      </c>
      <c r="C65" s="94" t="s">
        <v>435</v>
      </c>
      <c r="D65" s="95">
        <v>3215062</v>
      </c>
      <c r="E65" s="95">
        <v>2</v>
      </c>
      <c r="F65" s="95"/>
      <c r="G65" s="95">
        <v>11200</v>
      </c>
      <c r="H65" s="95" t="s">
        <v>28</v>
      </c>
      <c r="I65" s="95"/>
      <c r="J65" s="95" t="s">
        <v>113</v>
      </c>
      <c r="K65" s="95" t="b">
        <v>1</v>
      </c>
      <c r="L65" s="95">
        <v>3</v>
      </c>
      <c r="M65" s="96">
        <v>2028</v>
      </c>
      <c r="N65" s="97">
        <v>277396</v>
      </c>
      <c r="O65" s="98">
        <v>46020</v>
      </c>
      <c r="P65" s="98">
        <v>46020</v>
      </c>
      <c r="Q65" s="99">
        <v>0</v>
      </c>
    </row>
    <row r="66" spans="1:17">
      <c r="A66" s="7">
        <v>2025</v>
      </c>
      <c r="B66" s="8" t="s">
        <v>434</v>
      </c>
      <c r="C66" s="94" t="s">
        <v>435</v>
      </c>
      <c r="D66" s="95">
        <v>3215062</v>
      </c>
      <c r="E66" s="95">
        <v>2</v>
      </c>
      <c r="F66" s="95"/>
      <c r="G66" s="95">
        <v>11200</v>
      </c>
      <c r="H66" s="95" t="s">
        <v>28</v>
      </c>
      <c r="I66" s="95"/>
      <c r="J66" s="95" t="s">
        <v>113</v>
      </c>
      <c r="K66" s="95" t="b">
        <v>1</v>
      </c>
      <c r="L66" s="95">
        <v>1</v>
      </c>
      <c r="M66" s="96">
        <v>2026</v>
      </c>
      <c r="N66" s="97">
        <v>261726</v>
      </c>
      <c r="O66" s="98">
        <v>46020</v>
      </c>
      <c r="P66" s="98">
        <v>46020</v>
      </c>
      <c r="Q66" s="99">
        <v>0</v>
      </c>
    </row>
    <row r="67" spans="1:17">
      <c r="A67" s="7">
        <v>2025</v>
      </c>
      <c r="B67" s="8" t="s">
        <v>434</v>
      </c>
      <c r="C67" s="94" t="s">
        <v>435</v>
      </c>
      <c r="D67" s="95">
        <v>3215062</v>
      </c>
      <c r="E67" s="95">
        <v>2</v>
      </c>
      <c r="F67" s="95"/>
      <c r="G67" s="95">
        <v>11200</v>
      </c>
      <c r="H67" s="95" t="s">
        <v>28</v>
      </c>
      <c r="I67" s="95"/>
      <c r="J67" s="95" t="s">
        <v>113</v>
      </c>
      <c r="K67" s="95" t="b">
        <v>1</v>
      </c>
      <c r="L67" s="95">
        <v>0</v>
      </c>
      <c r="M67" s="96">
        <v>2025</v>
      </c>
      <c r="N67" s="97">
        <v>252875.66</v>
      </c>
      <c r="O67" s="98">
        <v>46020</v>
      </c>
      <c r="P67" s="98">
        <v>46020</v>
      </c>
      <c r="Q67" s="99">
        <v>0</v>
      </c>
    </row>
    <row r="68" spans="1:17">
      <c r="A68" s="7">
        <v>2025</v>
      </c>
      <c r="B68" s="8" t="s">
        <v>434</v>
      </c>
      <c r="C68" s="94" t="s">
        <v>435</v>
      </c>
      <c r="D68" s="95">
        <v>3215062</v>
      </c>
      <c r="E68" s="95">
        <v>2</v>
      </c>
      <c r="F68" s="95"/>
      <c r="G68" s="95">
        <v>11200</v>
      </c>
      <c r="H68" s="95" t="s">
        <v>28</v>
      </c>
      <c r="I68" s="95"/>
      <c r="J68" s="95" t="s">
        <v>113</v>
      </c>
      <c r="K68" s="95" t="b">
        <v>1</v>
      </c>
      <c r="L68" s="95">
        <v>5</v>
      </c>
      <c r="M68" s="96">
        <v>2030</v>
      </c>
      <c r="N68" s="97">
        <v>292292</v>
      </c>
      <c r="O68" s="98">
        <v>46020</v>
      </c>
      <c r="P68" s="98">
        <v>46020</v>
      </c>
      <c r="Q68" s="99">
        <v>0</v>
      </c>
    </row>
    <row r="69" spans="1:17">
      <c r="A69" s="7">
        <v>2025</v>
      </c>
      <c r="B69" s="8" t="s">
        <v>434</v>
      </c>
      <c r="C69" s="94" t="s">
        <v>435</v>
      </c>
      <c r="D69" s="95">
        <v>3215062</v>
      </c>
      <c r="E69" s="95">
        <v>2</v>
      </c>
      <c r="F69" s="95"/>
      <c r="G69" s="95">
        <v>11200</v>
      </c>
      <c r="H69" s="95" t="s">
        <v>28</v>
      </c>
      <c r="I69" s="95"/>
      <c r="J69" s="95" t="s">
        <v>113</v>
      </c>
      <c r="K69" s="95" t="b">
        <v>1</v>
      </c>
      <c r="L69" s="95">
        <v>11</v>
      </c>
      <c r="M69" s="96">
        <v>2036</v>
      </c>
      <c r="N69" s="97">
        <v>338969</v>
      </c>
      <c r="O69" s="98">
        <v>46020</v>
      </c>
      <c r="P69" s="98">
        <v>46020</v>
      </c>
      <c r="Q69" s="99">
        <v>0</v>
      </c>
    </row>
    <row r="70" spans="1:17">
      <c r="A70" s="7">
        <v>2025</v>
      </c>
      <c r="B70" s="8" t="s">
        <v>434</v>
      </c>
      <c r="C70" s="94" t="s">
        <v>435</v>
      </c>
      <c r="D70" s="95">
        <v>3215062</v>
      </c>
      <c r="E70" s="95">
        <v>2</v>
      </c>
      <c r="F70" s="95"/>
      <c r="G70" s="95">
        <v>11200</v>
      </c>
      <c r="H70" s="95" t="s">
        <v>28</v>
      </c>
      <c r="I70" s="95"/>
      <c r="J70" s="95" t="s">
        <v>113</v>
      </c>
      <c r="K70" s="95" t="b">
        <v>1</v>
      </c>
      <c r="L70" s="95">
        <v>8</v>
      </c>
      <c r="M70" s="96">
        <v>2033</v>
      </c>
      <c r="N70" s="97">
        <v>314766</v>
      </c>
      <c r="O70" s="98">
        <v>46020</v>
      </c>
      <c r="P70" s="98">
        <v>46020</v>
      </c>
      <c r="Q70" s="99">
        <v>0</v>
      </c>
    </row>
    <row r="71" spans="1:17">
      <c r="A71" s="7">
        <v>2025</v>
      </c>
      <c r="B71" s="8" t="s">
        <v>434</v>
      </c>
      <c r="C71" s="94" t="s">
        <v>435</v>
      </c>
      <c r="D71" s="95">
        <v>3215062</v>
      </c>
      <c r="E71" s="95">
        <v>2</v>
      </c>
      <c r="F71" s="95"/>
      <c r="G71" s="95">
        <v>11200</v>
      </c>
      <c r="H71" s="95" t="s">
        <v>28</v>
      </c>
      <c r="I71" s="95"/>
      <c r="J71" s="95" t="s">
        <v>113</v>
      </c>
      <c r="K71" s="95" t="b">
        <v>1</v>
      </c>
      <c r="L71" s="95">
        <v>13</v>
      </c>
      <c r="M71" s="96">
        <v>2038</v>
      </c>
      <c r="N71" s="97">
        <v>356129</v>
      </c>
      <c r="O71" s="98">
        <v>46020</v>
      </c>
      <c r="P71" s="98">
        <v>46020</v>
      </c>
      <c r="Q71" s="99">
        <v>0</v>
      </c>
    </row>
    <row r="72" spans="1:17">
      <c r="A72" s="7">
        <v>2025</v>
      </c>
      <c r="B72" s="8" t="s">
        <v>434</v>
      </c>
      <c r="C72" s="94" t="s">
        <v>435</v>
      </c>
      <c r="D72" s="95">
        <v>3215062</v>
      </c>
      <c r="E72" s="95">
        <v>2</v>
      </c>
      <c r="F72" s="95"/>
      <c r="G72" s="95">
        <v>11200</v>
      </c>
      <c r="H72" s="95" t="s">
        <v>28</v>
      </c>
      <c r="I72" s="95"/>
      <c r="J72" s="95" t="s">
        <v>113</v>
      </c>
      <c r="K72" s="95" t="b">
        <v>1</v>
      </c>
      <c r="L72" s="95">
        <v>6</v>
      </c>
      <c r="M72" s="96">
        <v>2031</v>
      </c>
      <c r="N72" s="97">
        <v>299599</v>
      </c>
      <c r="O72" s="98">
        <v>46020</v>
      </c>
      <c r="P72" s="98">
        <v>46020</v>
      </c>
      <c r="Q72" s="99">
        <v>0</v>
      </c>
    </row>
    <row r="73" spans="1:17">
      <c r="A73" s="7">
        <v>2025</v>
      </c>
      <c r="B73" s="8" t="s">
        <v>434</v>
      </c>
      <c r="C73" s="94" t="s">
        <v>435</v>
      </c>
      <c r="D73" s="95">
        <v>3215062</v>
      </c>
      <c r="E73" s="95">
        <v>2</v>
      </c>
      <c r="F73" s="95"/>
      <c r="G73" s="95">
        <v>11200</v>
      </c>
      <c r="H73" s="95" t="s">
        <v>28</v>
      </c>
      <c r="I73" s="95"/>
      <c r="J73" s="95" t="s">
        <v>113</v>
      </c>
      <c r="K73" s="95" t="b">
        <v>1</v>
      </c>
      <c r="L73" s="95">
        <v>2</v>
      </c>
      <c r="M73" s="96">
        <v>2027</v>
      </c>
      <c r="N73" s="97">
        <v>269840</v>
      </c>
      <c r="O73" s="98">
        <v>46020</v>
      </c>
      <c r="P73" s="98">
        <v>46020</v>
      </c>
      <c r="Q73" s="99">
        <v>0</v>
      </c>
    </row>
    <row r="74" spans="1:17">
      <c r="A74" s="7">
        <v>2025</v>
      </c>
      <c r="B74" s="8" t="s">
        <v>434</v>
      </c>
      <c r="C74" s="94" t="s">
        <v>435</v>
      </c>
      <c r="D74" s="95">
        <v>3215062</v>
      </c>
      <c r="E74" s="95">
        <v>2</v>
      </c>
      <c r="F74" s="95"/>
      <c r="G74" s="95">
        <v>11200</v>
      </c>
      <c r="H74" s="95" t="s">
        <v>28</v>
      </c>
      <c r="I74" s="95"/>
      <c r="J74" s="95" t="s">
        <v>113</v>
      </c>
      <c r="K74" s="95" t="b">
        <v>1</v>
      </c>
      <c r="L74" s="95">
        <v>9</v>
      </c>
      <c r="M74" s="96">
        <v>2034</v>
      </c>
      <c r="N74" s="97">
        <v>322635</v>
      </c>
      <c r="O74" s="98">
        <v>46020</v>
      </c>
      <c r="P74" s="98">
        <v>46020</v>
      </c>
      <c r="Q74" s="99">
        <v>0</v>
      </c>
    </row>
    <row r="75" spans="1:17">
      <c r="A75" s="7">
        <v>2025</v>
      </c>
      <c r="B75" s="8" t="s">
        <v>434</v>
      </c>
      <c r="C75" s="94" t="s">
        <v>435</v>
      </c>
      <c r="D75" s="95">
        <v>3215062</v>
      </c>
      <c r="E75" s="95">
        <v>2</v>
      </c>
      <c r="F75" s="95"/>
      <c r="G75" s="95">
        <v>11200</v>
      </c>
      <c r="H75" s="95" t="s">
        <v>28</v>
      </c>
      <c r="I75" s="95"/>
      <c r="J75" s="95" t="s">
        <v>113</v>
      </c>
      <c r="K75" s="95" t="b">
        <v>1</v>
      </c>
      <c r="L75" s="95">
        <v>10</v>
      </c>
      <c r="M75" s="96">
        <v>2035</v>
      </c>
      <c r="N75" s="97">
        <v>330701</v>
      </c>
      <c r="O75" s="98">
        <v>46020</v>
      </c>
      <c r="P75" s="98">
        <v>46020</v>
      </c>
      <c r="Q75" s="99">
        <v>0</v>
      </c>
    </row>
    <row r="76" spans="1:17">
      <c r="A76" s="7">
        <v>2025</v>
      </c>
      <c r="B76" s="8" t="s">
        <v>434</v>
      </c>
      <c r="C76" s="94" t="s">
        <v>435</v>
      </c>
      <c r="D76" s="95">
        <v>3215062</v>
      </c>
      <c r="E76" s="95">
        <v>2</v>
      </c>
      <c r="F76" s="95"/>
      <c r="G76" s="95">
        <v>11200</v>
      </c>
      <c r="H76" s="95" t="s">
        <v>28</v>
      </c>
      <c r="I76" s="95"/>
      <c r="J76" s="95" t="s">
        <v>113</v>
      </c>
      <c r="K76" s="95" t="b">
        <v>1</v>
      </c>
      <c r="L76" s="95">
        <v>12</v>
      </c>
      <c r="M76" s="96">
        <v>2037</v>
      </c>
      <c r="N76" s="97">
        <v>347443</v>
      </c>
      <c r="O76" s="98">
        <v>46020</v>
      </c>
      <c r="P76" s="98">
        <v>46020</v>
      </c>
      <c r="Q76" s="99">
        <v>0</v>
      </c>
    </row>
    <row r="77" spans="1:17">
      <c r="A77" s="7">
        <v>2025</v>
      </c>
      <c r="B77" s="8" t="s">
        <v>434</v>
      </c>
      <c r="C77" s="94" t="s">
        <v>435</v>
      </c>
      <c r="D77" s="95">
        <v>3215062</v>
      </c>
      <c r="E77" s="95">
        <v>2</v>
      </c>
      <c r="F77" s="95"/>
      <c r="G77" s="95">
        <v>70000</v>
      </c>
      <c r="H77" s="95">
        <v>7</v>
      </c>
      <c r="I77" s="95"/>
      <c r="J77" s="95" t="s">
        <v>57</v>
      </c>
      <c r="K77" s="95" t="b">
        <v>1</v>
      </c>
      <c r="L77" s="95">
        <v>2</v>
      </c>
      <c r="M77" s="96">
        <v>2027</v>
      </c>
      <c r="N77" s="97">
        <v>0</v>
      </c>
      <c r="O77" s="98">
        <v>46020</v>
      </c>
      <c r="P77" s="98">
        <v>46020</v>
      </c>
      <c r="Q77" s="99">
        <v>0</v>
      </c>
    </row>
    <row r="78" spans="1:17">
      <c r="A78" s="7">
        <v>2025</v>
      </c>
      <c r="B78" s="8" t="s">
        <v>434</v>
      </c>
      <c r="C78" s="94" t="s">
        <v>435</v>
      </c>
      <c r="D78" s="95">
        <v>3215062</v>
      </c>
      <c r="E78" s="95">
        <v>2</v>
      </c>
      <c r="F78" s="95"/>
      <c r="G78" s="95">
        <v>70000</v>
      </c>
      <c r="H78" s="95">
        <v>7</v>
      </c>
      <c r="I78" s="95"/>
      <c r="J78" s="95" t="s">
        <v>57</v>
      </c>
      <c r="K78" s="95" t="b">
        <v>1</v>
      </c>
      <c r="L78" s="95">
        <v>11</v>
      </c>
      <c r="M78" s="96">
        <v>2036</v>
      </c>
      <c r="N78" s="97">
        <v>0</v>
      </c>
      <c r="O78" s="98">
        <v>46020</v>
      </c>
      <c r="P78" s="98">
        <v>46020</v>
      </c>
      <c r="Q78" s="99">
        <v>0</v>
      </c>
    </row>
    <row r="79" spans="1:17">
      <c r="A79" s="7">
        <v>2025</v>
      </c>
      <c r="B79" s="8" t="s">
        <v>434</v>
      </c>
      <c r="C79" s="94" t="s">
        <v>435</v>
      </c>
      <c r="D79" s="95">
        <v>3215062</v>
      </c>
      <c r="E79" s="95">
        <v>2</v>
      </c>
      <c r="F79" s="95"/>
      <c r="G79" s="95">
        <v>70000</v>
      </c>
      <c r="H79" s="95">
        <v>7</v>
      </c>
      <c r="I79" s="95"/>
      <c r="J79" s="95" t="s">
        <v>57</v>
      </c>
      <c r="K79" s="95" t="b">
        <v>1</v>
      </c>
      <c r="L79" s="95">
        <v>4</v>
      </c>
      <c r="M79" s="96">
        <v>2029</v>
      </c>
      <c r="N79" s="97">
        <v>0</v>
      </c>
      <c r="O79" s="98">
        <v>46020</v>
      </c>
      <c r="P79" s="98">
        <v>46020</v>
      </c>
      <c r="Q79" s="99">
        <v>0</v>
      </c>
    </row>
    <row r="80" spans="1:17">
      <c r="A80" s="7">
        <v>2025</v>
      </c>
      <c r="B80" s="8" t="s">
        <v>434</v>
      </c>
      <c r="C80" s="94" t="s">
        <v>435</v>
      </c>
      <c r="D80" s="95">
        <v>3215062</v>
      </c>
      <c r="E80" s="95">
        <v>2</v>
      </c>
      <c r="F80" s="95"/>
      <c r="G80" s="95">
        <v>70000</v>
      </c>
      <c r="H80" s="95">
        <v>7</v>
      </c>
      <c r="I80" s="95"/>
      <c r="J80" s="95" t="s">
        <v>57</v>
      </c>
      <c r="K80" s="95" t="b">
        <v>1</v>
      </c>
      <c r="L80" s="95">
        <v>7</v>
      </c>
      <c r="M80" s="96">
        <v>2032</v>
      </c>
      <c r="N80" s="97">
        <v>0</v>
      </c>
      <c r="O80" s="98">
        <v>46020</v>
      </c>
      <c r="P80" s="98">
        <v>46020</v>
      </c>
      <c r="Q80" s="99">
        <v>0</v>
      </c>
    </row>
    <row r="81" spans="1:17">
      <c r="A81" s="7">
        <v>2025</v>
      </c>
      <c r="B81" s="8" t="s">
        <v>434</v>
      </c>
      <c r="C81" s="94" t="s">
        <v>435</v>
      </c>
      <c r="D81" s="95">
        <v>3215062</v>
      </c>
      <c r="E81" s="95">
        <v>2</v>
      </c>
      <c r="F81" s="95"/>
      <c r="G81" s="95">
        <v>70000</v>
      </c>
      <c r="H81" s="95">
        <v>7</v>
      </c>
      <c r="I81" s="95"/>
      <c r="J81" s="95" t="s">
        <v>57</v>
      </c>
      <c r="K81" s="95" t="b">
        <v>1</v>
      </c>
      <c r="L81" s="95">
        <v>12</v>
      </c>
      <c r="M81" s="96">
        <v>2037</v>
      </c>
      <c r="N81" s="97">
        <v>0</v>
      </c>
      <c r="O81" s="98">
        <v>46020</v>
      </c>
      <c r="P81" s="98">
        <v>46020</v>
      </c>
      <c r="Q81" s="99">
        <v>0</v>
      </c>
    </row>
    <row r="82" spans="1:17">
      <c r="A82" s="7">
        <v>2025</v>
      </c>
      <c r="B82" s="8" t="s">
        <v>434</v>
      </c>
      <c r="C82" s="94" t="s">
        <v>435</v>
      </c>
      <c r="D82" s="95">
        <v>3215062</v>
      </c>
      <c r="E82" s="95">
        <v>2</v>
      </c>
      <c r="F82" s="95"/>
      <c r="G82" s="95">
        <v>70000</v>
      </c>
      <c r="H82" s="95">
        <v>7</v>
      </c>
      <c r="I82" s="95"/>
      <c r="J82" s="95" t="s">
        <v>57</v>
      </c>
      <c r="K82" s="95" t="b">
        <v>1</v>
      </c>
      <c r="L82" s="95">
        <v>9</v>
      </c>
      <c r="M82" s="96">
        <v>2034</v>
      </c>
      <c r="N82" s="97">
        <v>0</v>
      </c>
      <c r="O82" s="98">
        <v>46020</v>
      </c>
      <c r="P82" s="98">
        <v>46020</v>
      </c>
      <c r="Q82" s="99">
        <v>0</v>
      </c>
    </row>
    <row r="83" spans="1:17">
      <c r="A83" s="7">
        <v>2025</v>
      </c>
      <c r="B83" s="8" t="s">
        <v>434</v>
      </c>
      <c r="C83" s="94" t="s">
        <v>435</v>
      </c>
      <c r="D83" s="95">
        <v>3215062</v>
      </c>
      <c r="E83" s="95">
        <v>2</v>
      </c>
      <c r="F83" s="95"/>
      <c r="G83" s="95">
        <v>70000</v>
      </c>
      <c r="H83" s="95">
        <v>7</v>
      </c>
      <c r="I83" s="95"/>
      <c r="J83" s="95" t="s">
        <v>57</v>
      </c>
      <c r="K83" s="95" t="b">
        <v>1</v>
      </c>
      <c r="L83" s="95">
        <v>8</v>
      </c>
      <c r="M83" s="96">
        <v>2033</v>
      </c>
      <c r="N83" s="97">
        <v>0</v>
      </c>
      <c r="O83" s="98">
        <v>46020</v>
      </c>
      <c r="P83" s="98">
        <v>46020</v>
      </c>
      <c r="Q83" s="99">
        <v>0</v>
      </c>
    </row>
    <row r="84" spans="1:17">
      <c r="A84" s="7">
        <v>2025</v>
      </c>
      <c r="B84" s="8" t="s">
        <v>434</v>
      </c>
      <c r="C84" s="94" t="s">
        <v>435</v>
      </c>
      <c r="D84" s="95">
        <v>3215062</v>
      </c>
      <c r="E84" s="95">
        <v>2</v>
      </c>
      <c r="F84" s="95"/>
      <c r="G84" s="95">
        <v>70000</v>
      </c>
      <c r="H84" s="95">
        <v>7</v>
      </c>
      <c r="I84" s="95"/>
      <c r="J84" s="95" t="s">
        <v>57</v>
      </c>
      <c r="K84" s="95" t="b">
        <v>1</v>
      </c>
      <c r="L84" s="95">
        <v>13</v>
      </c>
      <c r="M84" s="96">
        <v>2038</v>
      </c>
      <c r="N84" s="97">
        <v>0</v>
      </c>
      <c r="O84" s="98">
        <v>46020</v>
      </c>
      <c r="P84" s="98">
        <v>46020</v>
      </c>
      <c r="Q84" s="99">
        <v>0</v>
      </c>
    </row>
    <row r="85" spans="1:17">
      <c r="A85" s="7">
        <v>2025</v>
      </c>
      <c r="B85" s="8" t="s">
        <v>434</v>
      </c>
      <c r="C85" s="94" t="s">
        <v>435</v>
      </c>
      <c r="D85" s="95">
        <v>3215062</v>
      </c>
      <c r="E85" s="95">
        <v>2</v>
      </c>
      <c r="F85" s="95"/>
      <c r="G85" s="95">
        <v>70000</v>
      </c>
      <c r="H85" s="95">
        <v>7</v>
      </c>
      <c r="I85" s="95"/>
      <c r="J85" s="95" t="s">
        <v>57</v>
      </c>
      <c r="K85" s="95" t="b">
        <v>1</v>
      </c>
      <c r="L85" s="95">
        <v>1</v>
      </c>
      <c r="M85" s="96">
        <v>2026</v>
      </c>
      <c r="N85" s="97">
        <v>0</v>
      </c>
      <c r="O85" s="98">
        <v>46020</v>
      </c>
      <c r="P85" s="98">
        <v>46020</v>
      </c>
      <c r="Q85" s="99">
        <v>0</v>
      </c>
    </row>
    <row r="86" spans="1:17">
      <c r="A86" s="7">
        <v>2025</v>
      </c>
      <c r="B86" s="8" t="s">
        <v>434</v>
      </c>
      <c r="C86" s="94" t="s">
        <v>435</v>
      </c>
      <c r="D86" s="95">
        <v>3215062</v>
      </c>
      <c r="E86" s="95">
        <v>2</v>
      </c>
      <c r="F86" s="95"/>
      <c r="G86" s="95">
        <v>70000</v>
      </c>
      <c r="H86" s="95">
        <v>7</v>
      </c>
      <c r="I86" s="95"/>
      <c r="J86" s="95" t="s">
        <v>57</v>
      </c>
      <c r="K86" s="95" t="b">
        <v>1</v>
      </c>
      <c r="L86" s="95">
        <v>3</v>
      </c>
      <c r="M86" s="96">
        <v>2028</v>
      </c>
      <c r="N86" s="97">
        <v>0</v>
      </c>
      <c r="O86" s="98">
        <v>46020</v>
      </c>
      <c r="P86" s="98">
        <v>46020</v>
      </c>
      <c r="Q86" s="99">
        <v>0</v>
      </c>
    </row>
    <row r="87" spans="1:17">
      <c r="A87" s="7">
        <v>2025</v>
      </c>
      <c r="B87" s="8" t="s">
        <v>434</v>
      </c>
      <c r="C87" s="94" t="s">
        <v>435</v>
      </c>
      <c r="D87" s="95">
        <v>3215062</v>
      </c>
      <c r="E87" s="95">
        <v>2</v>
      </c>
      <c r="F87" s="95"/>
      <c r="G87" s="95">
        <v>70000</v>
      </c>
      <c r="H87" s="95">
        <v>7</v>
      </c>
      <c r="I87" s="95"/>
      <c r="J87" s="95" t="s">
        <v>57</v>
      </c>
      <c r="K87" s="95" t="b">
        <v>1</v>
      </c>
      <c r="L87" s="95">
        <v>6</v>
      </c>
      <c r="M87" s="96">
        <v>2031</v>
      </c>
      <c r="N87" s="97">
        <v>0</v>
      </c>
      <c r="O87" s="98">
        <v>46020</v>
      </c>
      <c r="P87" s="98">
        <v>46020</v>
      </c>
      <c r="Q87" s="99">
        <v>0</v>
      </c>
    </row>
    <row r="88" spans="1:17">
      <c r="A88" s="7">
        <v>2025</v>
      </c>
      <c r="B88" s="8" t="s">
        <v>434</v>
      </c>
      <c r="C88" s="94" t="s">
        <v>435</v>
      </c>
      <c r="D88" s="95">
        <v>3215062</v>
      </c>
      <c r="E88" s="95">
        <v>2</v>
      </c>
      <c r="F88" s="95"/>
      <c r="G88" s="95">
        <v>70000</v>
      </c>
      <c r="H88" s="95">
        <v>7</v>
      </c>
      <c r="I88" s="95"/>
      <c r="J88" s="95" t="s">
        <v>57</v>
      </c>
      <c r="K88" s="95" t="b">
        <v>1</v>
      </c>
      <c r="L88" s="95">
        <v>10</v>
      </c>
      <c r="M88" s="96">
        <v>2035</v>
      </c>
      <c r="N88" s="97">
        <v>0</v>
      </c>
      <c r="O88" s="98">
        <v>46020</v>
      </c>
      <c r="P88" s="98">
        <v>46020</v>
      </c>
      <c r="Q88" s="99">
        <v>0</v>
      </c>
    </row>
    <row r="89" spans="1:17">
      <c r="A89" s="7">
        <v>2025</v>
      </c>
      <c r="B89" s="8" t="s">
        <v>434</v>
      </c>
      <c r="C89" s="94" t="s">
        <v>435</v>
      </c>
      <c r="D89" s="95">
        <v>3215062</v>
      </c>
      <c r="E89" s="95">
        <v>2</v>
      </c>
      <c r="F89" s="95"/>
      <c r="G89" s="95">
        <v>70000</v>
      </c>
      <c r="H89" s="95">
        <v>7</v>
      </c>
      <c r="I89" s="95"/>
      <c r="J89" s="95" t="s">
        <v>57</v>
      </c>
      <c r="K89" s="95" t="b">
        <v>1</v>
      </c>
      <c r="L89" s="95">
        <v>0</v>
      </c>
      <c r="M89" s="96">
        <v>2025</v>
      </c>
      <c r="N89" s="97">
        <v>0</v>
      </c>
      <c r="O89" s="98">
        <v>46020</v>
      </c>
      <c r="P89" s="98">
        <v>46020</v>
      </c>
      <c r="Q89" s="99">
        <v>0</v>
      </c>
    </row>
    <row r="90" spans="1:17">
      <c r="A90" s="7">
        <v>2025</v>
      </c>
      <c r="B90" s="8" t="s">
        <v>434</v>
      </c>
      <c r="C90" s="94" t="s">
        <v>435</v>
      </c>
      <c r="D90" s="95">
        <v>3215062</v>
      </c>
      <c r="E90" s="95">
        <v>2</v>
      </c>
      <c r="F90" s="95"/>
      <c r="G90" s="95">
        <v>70000</v>
      </c>
      <c r="H90" s="95">
        <v>7</v>
      </c>
      <c r="I90" s="95"/>
      <c r="J90" s="95" t="s">
        <v>57</v>
      </c>
      <c r="K90" s="95" t="b">
        <v>1</v>
      </c>
      <c r="L90" s="95">
        <v>5</v>
      </c>
      <c r="M90" s="96">
        <v>2030</v>
      </c>
      <c r="N90" s="97">
        <v>0</v>
      </c>
      <c r="O90" s="98">
        <v>46020</v>
      </c>
      <c r="P90" s="98">
        <v>46020</v>
      </c>
      <c r="Q90" s="99">
        <v>0</v>
      </c>
    </row>
    <row r="91" spans="1:17">
      <c r="A91" s="7">
        <v>2025</v>
      </c>
      <c r="B91" s="8" t="s">
        <v>434</v>
      </c>
      <c r="C91" s="94" t="s">
        <v>435</v>
      </c>
      <c r="D91" s="95">
        <v>3215062</v>
      </c>
      <c r="E91" s="95">
        <v>2</v>
      </c>
      <c r="F91" s="95"/>
      <c r="G91" s="95">
        <v>41100</v>
      </c>
      <c r="H91" s="95" t="s">
        <v>38</v>
      </c>
      <c r="I91" s="95"/>
      <c r="J91" s="95" t="s">
        <v>133</v>
      </c>
      <c r="K91" s="95" t="b">
        <v>0</v>
      </c>
      <c r="L91" s="95">
        <v>1</v>
      </c>
      <c r="M91" s="96">
        <v>2026</v>
      </c>
      <c r="N91" s="97">
        <v>0</v>
      </c>
      <c r="O91" s="98">
        <v>46020</v>
      </c>
      <c r="P91" s="98">
        <v>46020</v>
      </c>
      <c r="Q91" s="99">
        <v>0</v>
      </c>
    </row>
    <row r="92" spans="1:17">
      <c r="A92" s="7">
        <v>2025</v>
      </c>
      <c r="B92" s="8" t="s">
        <v>434</v>
      </c>
      <c r="C92" s="94" t="s">
        <v>435</v>
      </c>
      <c r="D92" s="95">
        <v>3215062</v>
      </c>
      <c r="E92" s="95">
        <v>2</v>
      </c>
      <c r="F92" s="95"/>
      <c r="G92" s="95">
        <v>41100</v>
      </c>
      <c r="H92" s="95" t="s">
        <v>38</v>
      </c>
      <c r="I92" s="95"/>
      <c r="J92" s="95" t="s">
        <v>133</v>
      </c>
      <c r="K92" s="95" t="b">
        <v>0</v>
      </c>
      <c r="L92" s="95">
        <v>7</v>
      </c>
      <c r="M92" s="96">
        <v>2032</v>
      </c>
      <c r="N92" s="97">
        <v>0</v>
      </c>
      <c r="O92" s="98">
        <v>46020</v>
      </c>
      <c r="P92" s="98">
        <v>46020</v>
      </c>
      <c r="Q92" s="99">
        <v>0</v>
      </c>
    </row>
    <row r="93" spans="1:17">
      <c r="A93" s="7">
        <v>2025</v>
      </c>
      <c r="B93" s="8" t="s">
        <v>434</v>
      </c>
      <c r="C93" s="94" t="s">
        <v>435</v>
      </c>
      <c r="D93" s="95">
        <v>3215062</v>
      </c>
      <c r="E93" s="95">
        <v>2</v>
      </c>
      <c r="F93" s="95"/>
      <c r="G93" s="95">
        <v>41100</v>
      </c>
      <c r="H93" s="95" t="s">
        <v>38</v>
      </c>
      <c r="I93" s="95"/>
      <c r="J93" s="95" t="s">
        <v>133</v>
      </c>
      <c r="K93" s="95" t="b">
        <v>0</v>
      </c>
      <c r="L93" s="95">
        <v>13</v>
      </c>
      <c r="M93" s="96">
        <v>2038</v>
      </c>
      <c r="N93" s="97">
        <v>0</v>
      </c>
      <c r="O93" s="98">
        <v>46020</v>
      </c>
      <c r="P93" s="98">
        <v>46020</v>
      </c>
      <c r="Q93" s="99">
        <v>0</v>
      </c>
    </row>
    <row r="94" spans="1:17">
      <c r="A94" s="7">
        <v>2025</v>
      </c>
      <c r="B94" s="8" t="s">
        <v>434</v>
      </c>
      <c r="C94" s="94" t="s">
        <v>435</v>
      </c>
      <c r="D94" s="95">
        <v>3215062</v>
      </c>
      <c r="E94" s="95">
        <v>2</v>
      </c>
      <c r="F94" s="95"/>
      <c r="G94" s="95">
        <v>41100</v>
      </c>
      <c r="H94" s="95" t="s">
        <v>38</v>
      </c>
      <c r="I94" s="95"/>
      <c r="J94" s="95" t="s">
        <v>133</v>
      </c>
      <c r="K94" s="95" t="b">
        <v>0</v>
      </c>
      <c r="L94" s="95">
        <v>2</v>
      </c>
      <c r="M94" s="96">
        <v>2027</v>
      </c>
      <c r="N94" s="97">
        <v>0</v>
      </c>
      <c r="O94" s="98">
        <v>46020</v>
      </c>
      <c r="P94" s="98">
        <v>46020</v>
      </c>
      <c r="Q94" s="99">
        <v>0</v>
      </c>
    </row>
    <row r="95" spans="1:17">
      <c r="A95" s="7">
        <v>2025</v>
      </c>
      <c r="B95" s="8" t="s">
        <v>434</v>
      </c>
      <c r="C95" s="94" t="s">
        <v>435</v>
      </c>
      <c r="D95" s="95">
        <v>3215062</v>
      </c>
      <c r="E95" s="95">
        <v>2</v>
      </c>
      <c r="F95" s="95"/>
      <c r="G95" s="95">
        <v>41100</v>
      </c>
      <c r="H95" s="95" t="s">
        <v>38</v>
      </c>
      <c r="I95" s="95"/>
      <c r="J95" s="95" t="s">
        <v>133</v>
      </c>
      <c r="K95" s="95" t="b">
        <v>0</v>
      </c>
      <c r="L95" s="95">
        <v>8</v>
      </c>
      <c r="M95" s="96">
        <v>2033</v>
      </c>
      <c r="N95" s="97">
        <v>0</v>
      </c>
      <c r="O95" s="98">
        <v>46020</v>
      </c>
      <c r="P95" s="98">
        <v>46020</v>
      </c>
      <c r="Q95" s="99">
        <v>0</v>
      </c>
    </row>
    <row r="96" spans="1:17">
      <c r="A96" s="7">
        <v>2025</v>
      </c>
      <c r="B96" s="8" t="s">
        <v>434</v>
      </c>
      <c r="C96" s="94" t="s">
        <v>435</v>
      </c>
      <c r="D96" s="95">
        <v>3215062</v>
      </c>
      <c r="E96" s="95">
        <v>2</v>
      </c>
      <c r="F96" s="95"/>
      <c r="G96" s="95">
        <v>41100</v>
      </c>
      <c r="H96" s="95" t="s">
        <v>38</v>
      </c>
      <c r="I96" s="95"/>
      <c r="J96" s="95" t="s">
        <v>133</v>
      </c>
      <c r="K96" s="95" t="b">
        <v>0</v>
      </c>
      <c r="L96" s="95">
        <v>11</v>
      </c>
      <c r="M96" s="96">
        <v>2036</v>
      </c>
      <c r="N96" s="97">
        <v>0</v>
      </c>
      <c r="O96" s="98">
        <v>46020</v>
      </c>
      <c r="P96" s="98">
        <v>46020</v>
      </c>
      <c r="Q96" s="99">
        <v>0</v>
      </c>
    </row>
    <row r="97" spans="1:17">
      <c r="A97" s="7">
        <v>2025</v>
      </c>
      <c r="B97" s="8" t="s">
        <v>434</v>
      </c>
      <c r="C97" s="94" t="s">
        <v>435</v>
      </c>
      <c r="D97" s="95">
        <v>3215062</v>
      </c>
      <c r="E97" s="95">
        <v>2</v>
      </c>
      <c r="F97" s="95"/>
      <c r="G97" s="95">
        <v>41100</v>
      </c>
      <c r="H97" s="95" t="s">
        <v>38</v>
      </c>
      <c r="I97" s="95"/>
      <c r="J97" s="95" t="s">
        <v>133</v>
      </c>
      <c r="K97" s="95" t="b">
        <v>0</v>
      </c>
      <c r="L97" s="95">
        <v>9</v>
      </c>
      <c r="M97" s="96">
        <v>2034</v>
      </c>
      <c r="N97" s="97">
        <v>0</v>
      </c>
      <c r="O97" s="98">
        <v>46020</v>
      </c>
      <c r="P97" s="98">
        <v>46020</v>
      </c>
      <c r="Q97" s="99">
        <v>0</v>
      </c>
    </row>
    <row r="98" spans="1:17">
      <c r="A98" s="7">
        <v>2025</v>
      </c>
      <c r="B98" s="8" t="s">
        <v>434</v>
      </c>
      <c r="C98" s="94" t="s">
        <v>435</v>
      </c>
      <c r="D98" s="95">
        <v>3215062</v>
      </c>
      <c r="E98" s="95">
        <v>2</v>
      </c>
      <c r="F98" s="95"/>
      <c r="G98" s="95">
        <v>41100</v>
      </c>
      <c r="H98" s="95" t="s">
        <v>38</v>
      </c>
      <c r="I98" s="95"/>
      <c r="J98" s="95" t="s">
        <v>133</v>
      </c>
      <c r="K98" s="95" t="b">
        <v>0</v>
      </c>
      <c r="L98" s="95">
        <v>12</v>
      </c>
      <c r="M98" s="96">
        <v>2037</v>
      </c>
      <c r="N98" s="97">
        <v>0</v>
      </c>
      <c r="O98" s="98">
        <v>46020</v>
      </c>
      <c r="P98" s="98">
        <v>46020</v>
      </c>
      <c r="Q98" s="99">
        <v>0</v>
      </c>
    </row>
    <row r="99" spans="1:17">
      <c r="A99" s="7">
        <v>2025</v>
      </c>
      <c r="B99" s="8" t="s">
        <v>434</v>
      </c>
      <c r="C99" s="94" t="s">
        <v>435</v>
      </c>
      <c r="D99" s="95">
        <v>3215062</v>
      </c>
      <c r="E99" s="95">
        <v>2</v>
      </c>
      <c r="F99" s="95"/>
      <c r="G99" s="95">
        <v>41100</v>
      </c>
      <c r="H99" s="95" t="s">
        <v>38</v>
      </c>
      <c r="I99" s="95"/>
      <c r="J99" s="95" t="s">
        <v>133</v>
      </c>
      <c r="K99" s="95" t="b">
        <v>0</v>
      </c>
      <c r="L99" s="95">
        <v>0</v>
      </c>
      <c r="M99" s="96">
        <v>2025</v>
      </c>
      <c r="N99" s="97">
        <v>1175516</v>
      </c>
      <c r="O99" s="98">
        <v>46020</v>
      </c>
      <c r="P99" s="98">
        <v>46020</v>
      </c>
      <c r="Q99" s="99">
        <v>0</v>
      </c>
    </row>
    <row r="100" spans="1:17">
      <c r="A100" s="7">
        <v>2025</v>
      </c>
      <c r="B100" s="8" t="s">
        <v>434</v>
      </c>
      <c r="C100" s="94" t="s">
        <v>435</v>
      </c>
      <c r="D100" s="95">
        <v>3215062</v>
      </c>
      <c r="E100" s="95">
        <v>2</v>
      </c>
      <c r="F100" s="95"/>
      <c r="G100" s="95">
        <v>41100</v>
      </c>
      <c r="H100" s="95" t="s">
        <v>38</v>
      </c>
      <c r="I100" s="95"/>
      <c r="J100" s="95" t="s">
        <v>133</v>
      </c>
      <c r="K100" s="95" t="b">
        <v>0</v>
      </c>
      <c r="L100" s="95">
        <v>6</v>
      </c>
      <c r="M100" s="96">
        <v>2031</v>
      </c>
      <c r="N100" s="97">
        <v>0</v>
      </c>
      <c r="O100" s="98">
        <v>46020</v>
      </c>
      <c r="P100" s="98">
        <v>46020</v>
      </c>
      <c r="Q100" s="99">
        <v>0</v>
      </c>
    </row>
    <row r="101" spans="1:17">
      <c r="A101" s="7">
        <v>2025</v>
      </c>
      <c r="B101" s="8" t="s">
        <v>434</v>
      </c>
      <c r="C101" s="94" t="s">
        <v>435</v>
      </c>
      <c r="D101" s="95">
        <v>3215062</v>
      </c>
      <c r="E101" s="95">
        <v>2</v>
      </c>
      <c r="F101" s="95"/>
      <c r="G101" s="95">
        <v>41100</v>
      </c>
      <c r="H101" s="95" t="s">
        <v>38</v>
      </c>
      <c r="I101" s="95"/>
      <c r="J101" s="95" t="s">
        <v>133</v>
      </c>
      <c r="K101" s="95" t="b">
        <v>0</v>
      </c>
      <c r="L101" s="95">
        <v>4</v>
      </c>
      <c r="M101" s="96">
        <v>2029</v>
      </c>
      <c r="N101" s="97">
        <v>0</v>
      </c>
      <c r="O101" s="98">
        <v>46020</v>
      </c>
      <c r="P101" s="98">
        <v>46020</v>
      </c>
      <c r="Q101" s="99">
        <v>0</v>
      </c>
    </row>
    <row r="102" spans="1:17">
      <c r="A102" s="7">
        <v>2025</v>
      </c>
      <c r="B102" s="8" t="s">
        <v>434</v>
      </c>
      <c r="C102" s="94" t="s">
        <v>435</v>
      </c>
      <c r="D102" s="95">
        <v>3215062</v>
      </c>
      <c r="E102" s="95">
        <v>2</v>
      </c>
      <c r="F102" s="95"/>
      <c r="G102" s="95">
        <v>41100</v>
      </c>
      <c r="H102" s="95" t="s">
        <v>38</v>
      </c>
      <c r="I102" s="95"/>
      <c r="J102" s="95" t="s">
        <v>133</v>
      </c>
      <c r="K102" s="95" t="b">
        <v>0</v>
      </c>
      <c r="L102" s="95">
        <v>5</v>
      </c>
      <c r="M102" s="96">
        <v>2030</v>
      </c>
      <c r="N102" s="97">
        <v>0</v>
      </c>
      <c r="O102" s="98">
        <v>46020</v>
      </c>
      <c r="P102" s="98">
        <v>46020</v>
      </c>
      <c r="Q102" s="99">
        <v>0</v>
      </c>
    </row>
    <row r="103" spans="1:17">
      <c r="A103" s="7">
        <v>2025</v>
      </c>
      <c r="B103" s="8" t="s">
        <v>434</v>
      </c>
      <c r="C103" s="94" t="s">
        <v>435</v>
      </c>
      <c r="D103" s="95">
        <v>3215062</v>
      </c>
      <c r="E103" s="95">
        <v>2</v>
      </c>
      <c r="F103" s="95"/>
      <c r="G103" s="95">
        <v>41100</v>
      </c>
      <c r="H103" s="95" t="s">
        <v>38</v>
      </c>
      <c r="I103" s="95"/>
      <c r="J103" s="95" t="s">
        <v>133</v>
      </c>
      <c r="K103" s="95" t="b">
        <v>0</v>
      </c>
      <c r="L103" s="95">
        <v>10</v>
      </c>
      <c r="M103" s="96">
        <v>2035</v>
      </c>
      <c r="N103" s="97">
        <v>0</v>
      </c>
      <c r="O103" s="98">
        <v>46020</v>
      </c>
      <c r="P103" s="98">
        <v>46020</v>
      </c>
      <c r="Q103" s="99">
        <v>0</v>
      </c>
    </row>
    <row r="104" spans="1:17">
      <c r="A104" s="7">
        <v>2025</v>
      </c>
      <c r="B104" s="8" t="s">
        <v>434</v>
      </c>
      <c r="C104" s="94" t="s">
        <v>435</v>
      </c>
      <c r="D104" s="95">
        <v>3215062</v>
      </c>
      <c r="E104" s="95">
        <v>2</v>
      </c>
      <c r="F104" s="95"/>
      <c r="G104" s="95">
        <v>41100</v>
      </c>
      <c r="H104" s="95" t="s">
        <v>38</v>
      </c>
      <c r="I104" s="95"/>
      <c r="J104" s="95" t="s">
        <v>133</v>
      </c>
      <c r="K104" s="95" t="b">
        <v>0</v>
      </c>
      <c r="L104" s="95">
        <v>3</v>
      </c>
      <c r="M104" s="96">
        <v>2028</v>
      </c>
      <c r="N104" s="97">
        <v>0</v>
      </c>
      <c r="O104" s="98">
        <v>46020</v>
      </c>
      <c r="P104" s="98">
        <v>46020</v>
      </c>
      <c r="Q104" s="99">
        <v>0</v>
      </c>
    </row>
    <row r="105" spans="1:17">
      <c r="A105" s="7">
        <v>2025</v>
      </c>
      <c r="B105" s="8" t="s">
        <v>434</v>
      </c>
      <c r="C105" s="94" t="s">
        <v>435</v>
      </c>
      <c r="D105" s="95">
        <v>3215062</v>
      </c>
      <c r="E105" s="95">
        <v>2</v>
      </c>
      <c r="F105" s="95"/>
      <c r="G105" s="95">
        <v>111100</v>
      </c>
      <c r="H105" s="95" t="s">
        <v>226</v>
      </c>
      <c r="I105" s="95"/>
      <c r="J105" s="95" t="s">
        <v>190</v>
      </c>
      <c r="K105" s="95" t="b">
        <v>1</v>
      </c>
      <c r="L105" s="95">
        <v>5</v>
      </c>
      <c r="M105" s="96">
        <v>2030</v>
      </c>
      <c r="N105" s="97">
        <v>0</v>
      </c>
      <c r="O105" s="98">
        <v>46020</v>
      </c>
      <c r="P105" s="98">
        <v>46020</v>
      </c>
      <c r="Q105" s="99">
        <v>0</v>
      </c>
    </row>
    <row r="106" spans="1:17">
      <c r="A106" s="7">
        <v>2025</v>
      </c>
      <c r="B106" s="8" t="s">
        <v>434</v>
      </c>
      <c r="C106" s="94" t="s">
        <v>435</v>
      </c>
      <c r="D106" s="95">
        <v>3215062</v>
      </c>
      <c r="E106" s="95">
        <v>2</v>
      </c>
      <c r="F106" s="95"/>
      <c r="G106" s="95">
        <v>111100</v>
      </c>
      <c r="H106" s="95" t="s">
        <v>226</v>
      </c>
      <c r="I106" s="95"/>
      <c r="J106" s="95" t="s">
        <v>190</v>
      </c>
      <c r="K106" s="95" t="b">
        <v>1</v>
      </c>
      <c r="L106" s="95">
        <v>0</v>
      </c>
      <c r="M106" s="96">
        <v>2025</v>
      </c>
      <c r="N106" s="97">
        <v>0</v>
      </c>
      <c r="O106" s="98">
        <v>46020</v>
      </c>
      <c r="P106" s="98">
        <v>46020</v>
      </c>
      <c r="Q106" s="99">
        <v>0</v>
      </c>
    </row>
    <row r="107" spans="1:17">
      <c r="A107" s="7">
        <v>2025</v>
      </c>
      <c r="B107" s="8" t="s">
        <v>434</v>
      </c>
      <c r="C107" s="94" t="s">
        <v>435</v>
      </c>
      <c r="D107" s="95">
        <v>3215062</v>
      </c>
      <c r="E107" s="95">
        <v>2</v>
      </c>
      <c r="F107" s="95"/>
      <c r="G107" s="95">
        <v>111100</v>
      </c>
      <c r="H107" s="95" t="s">
        <v>226</v>
      </c>
      <c r="I107" s="95"/>
      <c r="J107" s="95" t="s">
        <v>190</v>
      </c>
      <c r="K107" s="95" t="b">
        <v>1</v>
      </c>
      <c r="L107" s="95">
        <v>8</v>
      </c>
      <c r="M107" s="96">
        <v>2033</v>
      </c>
      <c r="N107" s="97">
        <v>0</v>
      </c>
      <c r="O107" s="98">
        <v>46020</v>
      </c>
      <c r="P107" s="98">
        <v>46020</v>
      </c>
      <c r="Q107" s="99">
        <v>0</v>
      </c>
    </row>
    <row r="108" spans="1:17">
      <c r="A108" s="7">
        <v>2025</v>
      </c>
      <c r="B108" s="8" t="s">
        <v>434</v>
      </c>
      <c r="C108" s="94" t="s">
        <v>435</v>
      </c>
      <c r="D108" s="95">
        <v>3215062</v>
      </c>
      <c r="E108" s="95">
        <v>2</v>
      </c>
      <c r="F108" s="95"/>
      <c r="G108" s="95">
        <v>111100</v>
      </c>
      <c r="H108" s="95" t="s">
        <v>226</v>
      </c>
      <c r="I108" s="95"/>
      <c r="J108" s="95" t="s">
        <v>190</v>
      </c>
      <c r="K108" s="95" t="b">
        <v>1</v>
      </c>
      <c r="L108" s="95">
        <v>13</v>
      </c>
      <c r="M108" s="96">
        <v>2038</v>
      </c>
      <c r="N108" s="97">
        <v>0</v>
      </c>
      <c r="O108" s="98">
        <v>46020</v>
      </c>
      <c r="P108" s="98">
        <v>46020</v>
      </c>
      <c r="Q108" s="99">
        <v>0</v>
      </c>
    </row>
    <row r="109" spans="1:17">
      <c r="A109" s="7">
        <v>2025</v>
      </c>
      <c r="B109" s="8" t="s">
        <v>434</v>
      </c>
      <c r="C109" s="94" t="s">
        <v>435</v>
      </c>
      <c r="D109" s="95">
        <v>3215062</v>
      </c>
      <c r="E109" s="95">
        <v>2</v>
      </c>
      <c r="F109" s="95"/>
      <c r="G109" s="95">
        <v>111100</v>
      </c>
      <c r="H109" s="95" t="s">
        <v>226</v>
      </c>
      <c r="I109" s="95"/>
      <c r="J109" s="95" t="s">
        <v>190</v>
      </c>
      <c r="K109" s="95" t="b">
        <v>1</v>
      </c>
      <c r="L109" s="95">
        <v>1</v>
      </c>
      <c r="M109" s="96">
        <v>2026</v>
      </c>
      <c r="N109" s="97">
        <v>0</v>
      </c>
      <c r="O109" s="98">
        <v>46020</v>
      </c>
      <c r="P109" s="98">
        <v>46020</v>
      </c>
      <c r="Q109" s="99">
        <v>0</v>
      </c>
    </row>
    <row r="110" spans="1:17">
      <c r="A110" s="7">
        <v>2025</v>
      </c>
      <c r="B110" s="8" t="s">
        <v>434</v>
      </c>
      <c r="C110" s="94" t="s">
        <v>435</v>
      </c>
      <c r="D110" s="95">
        <v>3215062</v>
      </c>
      <c r="E110" s="95">
        <v>2</v>
      </c>
      <c r="F110" s="95"/>
      <c r="G110" s="95">
        <v>111100</v>
      </c>
      <c r="H110" s="95" t="s">
        <v>226</v>
      </c>
      <c r="I110" s="95"/>
      <c r="J110" s="95" t="s">
        <v>190</v>
      </c>
      <c r="K110" s="95" t="b">
        <v>1</v>
      </c>
      <c r="L110" s="95">
        <v>4</v>
      </c>
      <c r="M110" s="96">
        <v>2029</v>
      </c>
      <c r="N110" s="97">
        <v>0</v>
      </c>
      <c r="O110" s="98">
        <v>46020</v>
      </c>
      <c r="P110" s="98">
        <v>46020</v>
      </c>
      <c r="Q110" s="99">
        <v>0</v>
      </c>
    </row>
    <row r="111" spans="1:17">
      <c r="A111" s="7">
        <v>2025</v>
      </c>
      <c r="B111" s="8" t="s">
        <v>434</v>
      </c>
      <c r="C111" s="94" t="s">
        <v>435</v>
      </c>
      <c r="D111" s="95">
        <v>3215062</v>
      </c>
      <c r="E111" s="95">
        <v>2</v>
      </c>
      <c r="F111" s="95"/>
      <c r="G111" s="95">
        <v>111100</v>
      </c>
      <c r="H111" s="95" t="s">
        <v>226</v>
      </c>
      <c r="I111" s="95"/>
      <c r="J111" s="95" t="s">
        <v>190</v>
      </c>
      <c r="K111" s="95" t="b">
        <v>1</v>
      </c>
      <c r="L111" s="95">
        <v>6</v>
      </c>
      <c r="M111" s="96">
        <v>2031</v>
      </c>
      <c r="N111" s="97">
        <v>0</v>
      </c>
      <c r="O111" s="98">
        <v>46020</v>
      </c>
      <c r="P111" s="98">
        <v>46020</v>
      </c>
      <c r="Q111" s="99">
        <v>0</v>
      </c>
    </row>
    <row r="112" spans="1:17">
      <c r="A112" s="7">
        <v>2025</v>
      </c>
      <c r="B112" s="8" t="s">
        <v>434</v>
      </c>
      <c r="C112" s="94" t="s">
        <v>435</v>
      </c>
      <c r="D112" s="95">
        <v>3215062</v>
      </c>
      <c r="E112" s="95">
        <v>2</v>
      </c>
      <c r="F112" s="95"/>
      <c r="G112" s="95">
        <v>111100</v>
      </c>
      <c r="H112" s="95" t="s">
        <v>226</v>
      </c>
      <c r="I112" s="95"/>
      <c r="J112" s="95" t="s">
        <v>190</v>
      </c>
      <c r="K112" s="95" t="b">
        <v>1</v>
      </c>
      <c r="L112" s="95">
        <v>11</v>
      </c>
      <c r="M112" s="96">
        <v>2036</v>
      </c>
      <c r="N112" s="97">
        <v>0</v>
      </c>
      <c r="O112" s="98">
        <v>46020</v>
      </c>
      <c r="P112" s="98">
        <v>46020</v>
      </c>
      <c r="Q112" s="99">
        <v>0</v>
      </c>
    </row>
    <row r="113" spans="1:17">
      <c r="A113" s="7">
        <v>2025</v>
      </c>
      <c r="B113" s="8" t="s">
        <v>434</v>
      </c>
      <c r="C113" s="94" t="s">
        <v>435</v>
      </c>
      <c r="D113" s="95">
        <v>3215062</v>
      </c>
      <c r="E113" s="95">
        <v>2</v>
      </c>
      <c r="F113" s="95"/>
      <c r="G113" s="95">
        <v>111100</v>
      </c>
      <c r="H113" s="95" t="s">
        <v>226</v>
      </c>
      <c r="I113" s="95"/>
      <c r="J113" s="95" t="s">
        <v>190</v>
      </c>
      <c r="K113" s="95" t="b">
        <v>1</v>
      </c>
      <c r="L113" s="95">
        <v>12</v>
      </c>
      <c r="M113" s="96">
        <v>2037</v>
      </c>
      <c r="N113" s="97">
        <v>0</v>
      </c>
      <c r="O113" s="98">
        <v>46020</v>
      </c>
      <c r="P113" s="98">
        <v>46020</v>
      </c>
      <c r="Q113" s="99">
        <v>0</v>
      </c>
    </row>
    <row r="114" spans="1:17">
      <c r="A114" s="7">
        <v>2025</v>
      </c>
      <c r="B114" s="8" t="s">
        <v>434</v>
      </c>
      <c r="C114" s="94" t="s">
        <v>435</v>
      </c>
      <c r="D114" s="95">
        <v>3215062</v>
      </c>
      <c r="E114" s="95">
        <v>2</v>
      </c>
      <c r="F114" s="95"/>
      <c r="G114" s="95">
        <v>111100</v>
      </c>
      <c r="H114" s="95" t="s">
        <v>226</v>
      </c>
      <c r="I114" s="95"/>
      <c r="J114" s="95" t="s">
        <v>190</v>
      </c>
      <c r="K114" s="95" t="b">
        <v>1</v>
      </c>
      <c r="L114" s="95">
        <v>9</v>
      </c>
      <c r="M114" s="96">
        <v>2034</v>
      </c>
      <c r="N114" s="97">
        <v>0</v>
      </c>
      <c r="O114" s="98">
        <v>46020</v>
      </c>
      <c r="P114" s="98">
        <v>46020</v>
      </c>
      <c r="Q114" s="99">
        <v>0</v>
      </c>
    </row>
    <row r="115" spans="1:17">
      <c r="A115" s="7">
        <v>2025</v>
      </c>
      <c r="B115" s="8" t="s">
        <v>434</v>
      </c>
      <c r="C115" s="94" t="s">
        <v>435</v>
      </c>
      <c r="D115" s="95">
        <v>3215062</v>
      </c>
      <c r="E115" s="95">
        <v>2</v>
      </c>
      <c r="F115" s="95"/>
      <c r="G115" s="95">
        <v>111100</v>
      </c>
      <c r="H115" s="95" t="s">
        <v>226</v>
      </c>
      <c r="I115" s="95"/>
      <c r="J115" s="95" t="s">
        <v>190</v>
      </c>
      <c r="K115" s="95" t="b">
        <v>1</v>
      </c>
      <c r="L115" s="95">
        <v>7</v>
      </c>
      <c r="M115" s="96">
        <v>2032</v>
      </c>
      <c r="N115" s="97">
        <v>0</v>
      </c>
      <c r="O115" s="98">
        <v>46020</v>
      </c>
      <c r="P115" s="98">
        <v>46020</v>
      </c>
      <c r="Q115" s="99">
        <v>0</v>
      </c>
    </row>
    <row r="116" spans="1:17">
      <c r="A116" s="7">
        <v>2025</v>
      </c>
      <c r="B116" s="8" t="s">
        <v>434</v>
      </c>
      <c r="C116" s="94" t="s">
        <v>435</v>
      </c>
      <c r="D116" s="95">
        <v>3215062</v>
      </c>
      <c r="E116" s="95">
        <v>2</v>
      </c>
      <c r="F116" s="95"/>
      <c r="G116" s="95">
        <v>111100</v>
      </c>
      <c r="H116" s="95" t="s">
        <v>226</v>
      </c>
      <c r="I116" s="95"/>
      <c r="J116" s="95" t="s">
        <v>190</v>
      </c>
      <c r="K116" s="95" t="b">
        <v>1</v>
      </c>
      <c r="L116" s="95">
        <v>2</v>
      </c>
      <c r="M116" s="96">
        <v>2027</v>
      </c>
      <c r="N116" s="97">
        <v>0</v>
      </c>
      <c r="O116" s="98">
        <v>46020</v>
      </c>
      <c r="P116" s="98">
        <v>46020</v>
      </c>
      <c r="Q116" s="99">
        <v>0</v>
      </c>
    </row>
    <row r="117" spans="1:17">
      <c r="A117" s="7">
        <v>2025</v>
      </c>
      <c r="B117" s="8" t="s">
        <v>434</v>
      </c>
      <c r="C117" s="94" t="s">
        <v>435</v>
      </c>
      <c r="D117" s="95">
        <v>3215062</v>
      </c>
      <c r="E117" s="95">
        <v>2</v>
      </c>
      <c r="F117" s="95"/>
      <c r="G117" s="95">
        <v>111100</v>
      </c>
      <c r="H117" s="95" t="s">
        <v>226</v>
      </c>
      <c r="I117" s="95"/>
      <c r="J117" s="95" t="s">
        <v>190</v>
      </c>
      <c r="K117" s="95" t="b">
        <v>1</v>
      </c>
      <c r="L117" s="95">
        <v>10</v>
      </c>
      <c r="M117" s="96">
        <v>2035</v>
      </c>
      <c r="N117" s="97">
        <v>0</v>
      </c>
      <c r="O117" s="98">
        <v>46020</v>
      </c>
      <c r="P117" s="98">
        <v>46020</v>
      </c>
      <c r="Q117" s="99">
        <v>0</v>
      </c>
    </row>
    <row r="118" spans="1:17">
      <c r="A118" s="7">
        <v>2025</v>
      </c>
      <c r="B118" s="8" t="s">
        <v>434</v>
      </c>
      <c r="C118" s="94" t="s">
        <v>435</v>
      </c>
      <c r="D118" s="95">
        <v>3215062</v>
      </c>
      <c r="E118" s="95">
        <v>2</v>
      </c>
      <c r="F118" s="95"/>
      <c r="G118" s="95">
        <v>111100</v>
      </c>
      <c r="H118" s="95" t="s">
        <v>226</v>
      </c>
      <c r="I118" s="95"/>
      <c r="J118" s="95" t="s">
        <v>190</v>
      </c>
      <c r="K118" s="95" t="b">
        <v>1</v>
      </c>
      <c r="L118" s="95">
        <v>3</v>
      </c>
      <c r="M118" s="96">
        <v>2028</v>
      </c>
      <c r="N118" s="97">
        <v>0</v>
      </c>
      <c r="O118" s="98">
        <v>46020</v>
      </c>
      <c r="P118" s="98">
        <v>46020</v>
      </c>
      <c r="Q118" s="99">
        <v>0</v>
      </c>
    </row>
    <row r="119" spans="1:17">
      <c r="A119" s="7">
        <v>2025</v>
      </c>
      <c r="B119" s="8" t="s">
        <v>434</v>
      </c>
      <c r="C119" s="94" t="s">
        <v>435</v>
      </c>
      <c r="D119" s="95">
        <v>3215062</v>
      </c>
      <c r="E119" s="95">
        <v>2</v>
      </c>
      <c r="F119" s="95"/>
      <c r="G119" s="95">
        <v>81236</v>
      </c>
      <c r="H119" s="95" t="s">
        <v>386</v>
      </c>
      <c r="I119" s="95" t="s">
        <v>436</v>
      </c>
      <c r="J119" s="95" t="s">
        <v>387</v>
      </c>
      <c r="K119" s="95" t="b">
        <v>1</v>
      </c>
      <c r="L119" s="95">
        <v>5</v>
      </c>
      <c r="M119" s="96">
        <v>2030</v>
      </c>
      <c r="N119" s="97">
        <v>0</v>
      </c>
      <c r="O119" s="98">
        <v>46020</v>
      </c>
      <c r="P119" s="98">
        <v>46020</v>
      </c>
      <c r="Q119" s="99">
        <v>0</v>
      </c>
    </row>
    <row r="120" spans="1:17">
      <c r="A120" s="7">
        <v>2025</v>
      </c>
      <c r="B120" s="8" t="s">
        <v>434</v>
      </c>
      <c r="C120" s="94" t="s">
        <v>435</v>
      </c>
      <c r="D120" s="95">
        <v>3215062</v>
      </c>
      <c r="E120" s="95">
        <v>2</v>
      </c>
      <c r="F120" s="95"/>
      <c r="G120" s="95">
        <v>81236</v>
      </c>
      <c r="H120" s="95" t="s">
        <v>386</v>
      </c>
      <c r="I120" s="95" t="s">
        <v>436</v>
      </c>
      <c r="J120" s="95" t="s">
        <v>387</v>
      </c>
      <c r="K120" s="95" t="b">
        <v>1</v>
      </c>
      <c r="L120" s="95">
        <v>6</v>
      </c>
      <c r="M120" s="96">
        <v>2031</v>
      </c>
      <c r="N120" s="97">
        <v>0</v>
      </c>
      <c r="O120" s="98">
        <v>46020</v>
      </c>
      <c r="P120" s="98">
        <v>46020</v>
      </c>
      <c r="Q120" s="99">
        <v>0</v>
      </c>
    </row>
    <row r="121" spans="1:17">
      <c r="A121" s="7">
        <v>2025</v>
      </c>
      <c r="B121" s="8" t="s">
        <v>434</v>
      </c>
      <c r="C121" s="94" t="s">
        <v>435</v>
      </c>
      <c r="D121" s="95">
        <v>3215062</v>
      </c>
      <c r="E121" s="95">
        <v>2</v>
      </c>
      <c r="F121" s="95"/>
      <c r="G121" s="95">
        <v>81236</v>
      </c>
      <c r="H121" s="95" t="s">
        <v>386</v>
      </c>
      <c r="I121" s="95" t="s">
        <v>436</v>
      </c>
      <c r="J121" s="95" t="s">
        <v>387</v>
      </c>
      <c r="K121" s="95" t="b">
        <v>1</v>
      </c>
      <c r="L121" s="95">
        <v>13</v>
      </c>
      <c r="M121" s="96">
        <v>2038</v>
      </c>
      <c r="N121" s="97">
        <v>0</v>
      </c>
      <c r="O121" s="98">
        <v>46020</v>
      </c>
      <c r="P121" s="98">
        <v>46020</v>
      </c>
      <c r="Q121" s="99">
        <v>0</v>
      </c>
    </row>
    <row r="122" spans="1:17">
      <c r="A122" s="7">
        <v>2025</v>
      </c>
      <c r="B122" s="8" t="s">
        <v>434</v>
      </c>
      <c r="C122" s="94" t="s">
        <v>435</v>
      </c>
      <c r="D122" s="95">
        <v>3215062</v>
      </c>
      <c r="E122" s="95">
        <v>2</v>
      </c>
      <c r="F122" s="95"/>
      <c r="G122" s="95">
        <v>81236</v>
      </c>
      <c r="H122" s="95" t="s">
        <v>386</v>
      </c>
      <c r="I122" s="95" t="s">
        <v>436</v>
      </c>
      <c r="J122" s="95" t="s">
        <v>387</v>
      </c>
      <c r="K122" s="95" t="b">
        <v>1</v>
      </c>
      <c r="L122" s="95">
        <v>1</v>
      </c>
      <c r="M122" s="96">
        <v>2026</v>
      </c>
      <c r="N122" s="97">
        <v>2.2200000000000001E-2</v>
      </c>
      <c r="O122" s="98">
        <v>46020</v>
      </c>
      <c r="P122" s="98">
        <v>46020</v>
      </c>
      <c r="Q122" s="99">
        <v>0</v>
      </c>
    </row>
    <row r="123" spans="1:17">
      <c r="A123" s="7">
        <v>2025</v>
      </c>
      <c r="B123" s="8" t="s">
        <v>434</v>
      </c>
      <c r="C123" s="94" t="s">
        <v>435</v>
      </c>
      <c r="D123" s="95">
        <v>3215062</v>
      </c>
      <c r="E123" s="95">
        <v>2</v>
      </c>
      <c r="F123" s="95"/>
      <c r="G123" s="95">
        <v>81236</v>
      </c>
      <c r="H123" s="95" t="s">
        <v>386</v>
      </c>
      <c r="I123" s="95" t="s">
        <v>436</v>
      </c>
      <c r="J123" s="95" t="s">
        <v>387</v>
      </c>
      <c r="K123" s="95" t="b">
        <v>1</v>
      </c>
      <c r="L123" s="95">
        <v>12</v>
      </c>
      <c r="M123" s="96">
        <v>2037</v>
      </c>
      <c r="N123" s="97">
        <v>0</v>
      </c>
      <c r="O123" s="98">
        <v>46020</v>
      </c>
      <c r="P123" s="98">
        <v>46020</v>
      </c>
      <c r="Q123" s="99">
        <v>0</v>
      </c>
    </row>
    <row r="124" spans="1:17">
      <c r="A124" s="7">
        <v>2025</v>
      </c>
      <c r="B124" s="8" t="s">
        <v>434</v>
      </c>
      <c r="C124" s="94" t="s">
        <v>435</v>
      </c>
      <c r="D124" s="95">
        <v>3215062</v>
      </c>
      <c r="E124" s="95">
        <v>2</v>
      </c>
      <c r="F124" s="95"/>
      <c r="G124" s="95">
        <v>81236</v>
      </c>
      <c r="H124" s="95" t="s">
        <v>386</v>
      </c>
      <c r="I124" s="95" t="s">
        <v>436</v>
      </c>
      <c r="J124" s="95" t="s">
        <v>387</v>
      </c>
      <c r="K124" s="95" t="b">
        <v>1</v>
      </c>
      <c r="L124" s="95">
        <v>3</v>
      </c>
      <c r="M124" s="96">
        <v>2028</v>
      </c>
      <c r="N124" s="97">
        <v>1.5900000000000001E-2</v>
      </c>
      <c r="O124" s="98">
        <v>46020</v>
      </c>
      <c r="P124" s="98">
        <v>46020</v>
      </c>
      <c r="Q124" s="99">
        <v>0</v>
      </c>
    </row>
    <row r="125" spans="1:17">
      <c r="A125" s="7">
        <v>2025</v>
      </c>
      <c r="B125" s="8" t="s">
        <v>434</v>
      </c>
      <c r="C125" s="94" t="s">
        <v>435</v>
      </c>
      <c r="D125" s="95">
        <v>3215062</v>
      </c>
      <c r="E125" s="95">
        <v>2</v>
      </c>
      <c r="F125" s="95"/>
      <c r="G125" s="95">
        <v>81236</v>
      </c>
      <c r="H125" s="95" t="s">
        <v>386</v>
      </c>
      <c r="I125" s="95" t="s">
        <v>436</v>
      </c>
      <c r="J125" s="95" t="s">
        <v>387</v>
      </c>
      <c r="K125" s="95" t="b">
        <v>1</v>
      </c>
      <c r="L125" s="95">
        <v>8</v>
      </c>
      <c r="M125" s="96">
        <v>2033</v>
      </c>
      <c r="N125" s="97">
        <v>0</v>
      </c>
      <c r="O125" s="98">
        <v>46020</v>
      </c>
      <c r="P125" s="98">
        <v>46020</v>
      </c>
      <c r="Q125" s="99">
        <v>0</v>
      </c>
    </row>
    <row r="126" spans="1:17">
      <c r="A126" s="7">
        <v>2025</v>
      </c>
      <c r="B126" s="8" t="s">
        <v>434</v>
      </c>
      <c r="C126" s="94" t="s">
        <v>435</v>
      </c>
      <c r="D126" s="95">
        <v>3215062</v>
      </c>
      <c r="E126" s="95">
        <v>2</v>
      </c>
      <c r="F126" s="95"/>
      <c r="G126" s="95">
        <v>81236</v>
      </c>
      <c r="H126" s="95" t="s">
        <v>386</v>
      </c>
      <c r="I126" s="95" t="s">
        <v>436</v>
      </c>
      <c r="J126" s="95" t="s">
        <v>387</v>
      </c>
      <c r="K126" s="95" t="b">
        <v>1</v>
      </c>
      <c r="L126" s="95">
        <v>9</v>
      </c>
      <c r="M126" s="96">
        <v>2034</v>
      </c>
      <c r="N126" s="97">
        <v>0</v>
      </c>
      <c r="O126" s="98">
        <v>46020</v>
      </c>
      <c r="P126" s="98">
        <v>46020</v>
      </c>
      <c r="Q126" s="99">
        <v>0</v>
      </c>
    </row>
    <row r="127" spans="1:17">
      <c r="A127" s="7">
        <v>2025</v>
      </c>
      <c r="B127" s="8" t="s">
        <v>434</v>
      </c>
      <c r="C127" s="94" t="s">
        <v>435</v>
      </c>
      <c r="D127" s="95">
        <v>3215062</v>
      </c>
      <c r="E127" s="95">
        <v>2</v>
      </c>
      <c r="F127" s="95"/>
      <c r="G127" s="95">
        <v>81236</v>
      </c>
      <c r="H127" s="95" t="s">
        <v>386</v>
      </c>
      <c r="I127" s="95" t="s">
        <v>436</v>
      </c>
      <c r="J127" s="95" t="s">
        <v>387</v>
      </c>
      <c r="K127" s="95" t="b">
        <v>1</v>
      </c>
      <c r="L127" s="95">
        <v>2</v>
      </c>
      <c r="M127" s="96">
        <v>2027</v>
      </c>
      <c r="N127" s="97">
        <v>2.1100000000000001E-2</v>
      </c>
      <c r="O127" s="98">
        <v>46020</v>
      </c>
      <c r="P127" s="98">
        <v>46020</v>
      </c>
      <c r="Q127" s="99">
        <v>0</v>
      </c>
    </row>
    <row r="128" spans="1:17">
      <c r="A128" s="7">
        <v>2025</v>
      </c>
      <c r="B128" s="8" t="s">
        <v>434</v>
      </c>
      <c r="C128" s="94" t="s">
        <v>435</v>
      </c>
      <c r="D128" s="95">
        <v>3215062</v>
      </c>
      <c r="E128" s="95">
        <v>2</v>
      </c>
      <c r="F128" s="95"/>
      <c r="G128" s="95">
        <v>81236</v>
      </c>
      <c r="H128" s="95" t="s">
        <v>386</v>
      </c>
      <c r="I128" s="95" t="s">
        <v>436</v>
      </c>
      <c r="J128" s="95" t="s">
        <v>387</v>
      </c>
      <c r="K128" s="95" t="b">
        <v>1</v>
      </c>
      <c r="L128" s="95">
        <v>4</v>
      </c>
      <c r="M128" s="96">
        <v>2029</v>
      </c>
      <c r="N128" s="97">
        <v>1.29E-2</v>
      </c>
      <c r="O128" s="98">
        <v>46020</v>
      </c>
      <c r="P128" s="98">
        <v>46020</v>
      </c>
      <c r="Q128" s="99">
        <v>0</v>
      </c>
    </row>
    <row r="129" spans="1:17">
      <c r="A129" s="7">
        <v>2025</v>
      </c>
      <c r="B129" s="8" t="s">
        <v>434</v>
      </c>
      <c r="C129" s="94" t="s">
        <v>435</v>
      </c>
      <c r="D129" s="95">
        <v>3215062</v>
      </c>
      <c r="E129" s="95">
        <v>2</v>
      </c>
      <c r="F129" s="95"/>
      <c r="G129" s="95">
        <v>81236</v>
      </c>
      <c r="H129" s="95" t="s">
        <v>386</v>
      </c>
      <c r="I129" s="95" t="s">
        <v>436</v>
      </c>
      <c r="J129" s="95" t="s">
        <v>387</v>
      </c>
      <c r="K129" s="95" t="b">
        <v>1</v>
      </c>
      <c r="L129" s="95">
        <v>7</v>
      </c>
      <c r="M129" s="96">
        <v>2032</v>
      </c>
      <c r="N129" s="97">
        <v>0</v>
      </c>
      <c r="O129" s="98">
        <v>46020</v>
      </c>
      <c r="P129" s="98">
        <v>46020</v>
      </c>
      <c r="Q129" s="99">
        <v>0</v>
      </c>
    </row>
    <row r="130" spans="1:17">
      <c r="A130" s="7">
        <v>2025</v>
      </c>
      <c r="B130" s="8" t="s">
        <v>434</v>
      </c>
      <c r="C130" s="94" t="s">
        <v>435</v>
      </c>
      <c r="D130" s="95">
        <v>3215062</v>
      </c>
      <c r="E130" s="95">
        <v>2</v>
      </c>
      <c r="F130" s="95"/>
      <c r="G130" s="95">
        <v>81236</v>
      </c>
      <c r="H130" s="95" t="s">
        <v>386</v>
      </c>
      <c r="I130" s="95" t="s">
        <v>436</v>
      </c>
      <c r="J130" s="95" t="s">
        <v>387</v>
      </c>
      <c r="K130" s="95" t="b">
        <v>1</v>
      </c>
      <c r="L130" s="95">
        <v>10</v>
      </c>
      <c r="M130" s="96">
        <v>2035</v>
      </c>
      <c r="N130" s="97">
        <v>0</v>
      </c>
      <c r="O130" s="98">
        <v>46020</v>
      </c>
      <c r="P130" s="98">
        <v>46020</v>
      </c>
      <c r="Q130" s="99">
        <v>0</v>
      </c>
    </row>
    <row r="131" spans="1:17">
      <c r="A131" s="7">
        <v>2025</v>
      </c>
      <c r="B131" s="8" t="s">
        <v>434</v>
      </c>
      <c r="C131" s="94" t="s">
        <v>435</v>
      </c>
      <c r="D131" s="95">
        <v>3215062</v>
      </c>
      <c r="E131" s="95">
        <v>2</v>
      </c>
      <c r="F131" s="95"/>
      <c r="G131" s="95">
        <v>81236</v>
      </c>
      <c r="H131" s="95" t="s">
        <v>386</v>
      </c>
      <c r="I131" s="95" t="s">
        <v>436</v>
      </c>
      <c r="J131" s="95" t="s">
        <v>387</v>
      </c>
      <c r="K131" s="95" t="b">
        <v>1</v>
      </c>
      <c r="L131" s="95">
        <v>0</v>
      </c>
      <c r="M131" s="96">
        <v>2025</v>
      </c>
      <c r="N131" s="97">
        <v>1.95E-2</v>
      </c>
      <c r="O131" s="98">
        <v>46020</v>
      </c>
      <c r="P131" s="98">
        <v>46020</v>
      </c>
      <c r="Q131" s="99">
        <v>0</v>
      </c>
    </row>
    <row r="132" spans="1:17">
      <c r="A132" s="7">
        <v>2025</v>
      </c>
      <c r="B132" s="8" t="s">
        <v>434</v>
      </c>
      <c r="C132" s="94" t="s">
        <v>435</v>
      </c>
      <c r="D132" s="95">
        <v>3215062</v>
      </c>
      <c r="E132" s="95">
        <v>2</v>
      </c>
      <c r="F132" s="95"/>
      <c r="G132" s="95">
        <v>81236</v>
      </c>
      <c r="H132" s="95" t="s">
        <v>386</v>
      </c>
      <c r="I132" s="95" t="s">
        <v>436</v>
      </c>
      <c r="J132" s="95" t="s">
        <v>387</v>
      </c>
      <c r="K132" s="95" t="b">
        <v>1</v>
      </c>
      <c r="L132" s="95">
        <v>11</v>
      </c>
      <c r="M132" s="96">
        <v>2036</v>
      </c>
      <c r="N132" s="97">
        <v>0</v>
      </c>
      <c r="O132" s="98">
        <v>46020</v>
      </c>
      <c r="P132" s="98">
        <v>46020</v>
      </c>
      <c r="Q132" s="99">
        <v>0</v>
      </c>
    </row>
    <row r="133" spans="1:17">
      <c r="A133" s="7">
        <v>2025</v>
      </c>
      <c r="B133" s="8" t="s">
        <v>434</v>
      </c>
      <c r="C133" s="94" t="s">
        <v>435</v>
      </c>
      <c r="D133" s="95">
        <v>3215062</v>
      </c>
      <c r="E133" s="95">
        <v>2</v>
      </c>
      <c r="F133" s="95"/>
      <c r="G133" s="95">
        <v>31000</v>
      </c>
      <c r="H133" s="95">
        <v>3.1</v>
      </c>
      <c r="I133" s="95"/>
      <c r="J133" s="95" t="s">
        <v>131</v>
      </c>
      <c r="K133" s="95" t="b">
        <v>0</v>
      </c>
      <c r="L133" s="95">
        <v>2</v>
      </c>
      <c r="M133" s="96">
        <v>2027</v>
      </c>
      <c r="N133" s="97">
        <v>803540.94</v>
      </c>
      <c r="O133" s="98">
        <v>46020</v>
      </c>
      <c r="P133" s="98">
        <v>46020</v>
      </c>
      <c r="Q133" s="99">
        <v>0</v>
      </c>
    </row>
    <row r="134" spans="1:17">
      <c r="A134" s="7">
        <v>2025</v>
      </c>
      <c r="B134" s="8" t="s">
        <v>434</v>
      </c>
      <c r="C134" s="94" t="s">
        <v>435</v>
      </c>
      <c r="D134" s="95">
        <v>3215062</v>
      </c>
      <c r="E134" s="95">
        <v>2</v>
      </c>
      <c r="F134" s="95"/>
      <c r="G134" s="95">
        <v>31000</v>
      </c>
      <c r="H134" s="95">
        <v>3.1</v>
      </c>
      <c r="I134" s="95"/>
      <c r="J134" s="95" t="s">
        <v>131</v>
      </c>
      <c r="K134" s="95" t="b">
        <v>0</v>
      </c>
      <c r="L134" s="95">
        <v>5</v>
      </c>
      <c r="M134" s="96">
        <v>2030</v>
      </c>
      <c r="N134" s="97">
        <v>191817.60000000001</v>
      </c>
      <c r="O134" s="98">
        <v>46020</v>
      </c>
      <c r="P134" s="98">
        <v>46020</v>
      </c>
      <c r="Q134" s="99">
        <v>0</v>
      </c>
    </row>
    <row r="135" spans="1:17">
      <c r="A135" s="7">
        <v>2025</v>
      </c>
      <c r="B135" s="8" t="s">
        <v>434</v>
      </c>
      <c r="C135" s="94" t="s">
        <v>435</v>
      </c>
      <c r="D135" s="95">
        <v>3215062</v>
      </c>
      <c r="E135" s="95">
        <v>2</v>
      </c>
      <c r="F135" s="95"/>
      <c r="G135" s="95">
        <v>31000</v>
      </c>
      <c r="H135" s="95">
        <v>3.1</v>
      </c>
      <c r="I135" s="95"/>
      <c r="J135" s="95" t="s">
        <v>131</v>
      </c>
      <c r="K135" s="95" t="b">
        <v>0</v>
      </c>
      <c r="L135" s="95">
        <v>10</v>
      </c>
      <c r="M135" s="96">
        <v>2035</v>
      </c>
      <c r="N135" s="97">
        <v>191817.60000000001</v>
      </c>
      <c r="O135" s="98">
        <v>46020</v>
      </c>
      <c r="P135" s="98">
        <v>46020</v>
      </c>
      <c r="Q135" s="99">
        <v>0</v>
      </c>
    </row>
    <row r="136" spans="1:17">
      <c r="A136" s="7">
        <v>2025</v>
      </c>
      <c r="B136" s="8" t="s">
        <v>434</v>
      </c>
      <c r="C136" s="94" t="s">
        <v>435</v>
      </c>
      <c r="D136" s="95">
        <v>3215062</v>
      </c>
      <c r="E136" s="95">
        <v>2</v>
      </c>
      <c r="F136" s="95"/>
      <c r="G136" s="95">
        <v>31000</v>
      </c>
      <c r="H136" s="95">
        <v>3.1</v>
      </c>
      <c r="I136" s="95"/>
      <c r="J136" s="95" t="s">
        <v>131</v>
      </c>
      <c r="K136" s="95" t="b">
        <v>0</v>
      </c>
      <c r="L136" s="95">
        <v>3</v>
      </c>
      <c r="M136" s="96">
        <v>2028</v>
      </c>
      <c r="N136" s="97">
        <v>632593.19999999995</v>
      </c>
      <c r="O136" s="98">
        <v>46020</v>
      </c>
      <c r="P136" s="98">
        <v>46020</v>
      </c>
      <c r="Q136" s="99">
        <v>0</v>
      </c>
    </row>
    <row r="137" spans="1:17">
      <c r="A137" s="7">
        <v>2025</v>
      </c>
      <c r="B137" s="8" t="s">
        <v>434</v>
      </c>
      <c r="C137" s="94" t="s">
        <v>435</v>
      </c>
      <c r="D137" s="95">
        <v>3215062</v>
      </c>
      <c r="E137" s="95">
        <v>2</v>
      </c>
      <c r="F137" s="95"/>
      <c r="G137" s="95">
        <v>31000</v>
      </c>
      <c r="H137" s="95">
        <v>3.1</v>
      </c>
      <c r="I137" s="95"/>
      <c r="J137" s="95" t="s">
        <v>131</v>
      </c>
      <c r="K137" s="95" t="b">
        <v>0</v>
      </c>
      <c r="L137" s="95">
        <v>11</v>
      </c>
      <c r="M137" s="96">
        <v>2036</v>
      </c>
      <c r="N137" s="97">
        <v>74266</v>
      </c>
      <c r="O137" s="98">
        <v>46020</v>
      </c>
      <c r="P137" s="98">
        <v>46020</v>
      </c>
      <c r="Q137" s="99">
        <v>0</v>
      </c>
    </row>
    <row r="138" spans="1:17">
      <c r="A138" s="7">
        <v>2025</v>
      </c>
      <c r="B138" s="8" t="s">
        <v>434</v>
      </c>
      <c r="C138" s="94" t="s">
        <v>435</v>
      </c>
      <c r="D138" s="95">
        <v>3215062</v>
      </c>
      <c r="E138" s="95">
        <v>2</v>
      </c>
      <c r="F138" s="95"/>
      <c r="G138" s="95">
        <v>31000</v>
      </c>
      <c r="H138" s="95">
        <v>3.1</v>
      </c>
      <c r="I138" s="95"/>
      <c r="J138" s="95" t="s">
        <v>131</v>
      </c>
      <c r="K138" s="95" t="b">
        <v>0</v>
      </c>
      <c r="L138" s="95">
        <v>0</v>
      </c>
      <c r="M138" s="96">
        <v>2025</v>
      </c>
      <c r="N138" s="97">
        <v>0</v>
      </c>
      <c r="O138" s="98">
        <v>46020</v>
      </c>
      <c r="P138" s="98">
        <v>46020</v>
      </c>
      <c r="Q138" s="99">
        <v>0</v>
      </c>
    </row>
    <row r="139" spans="1:17">
      <c r="A139" s="7">
        <v>2025</v>
      </c>
      <c r="B139" s="8" t="s">
        <v>434</v>
      </c>
      <c r="C139" s="94" t="s">
        <v>435</v>
      </c>
      <c r="D139" s="95">
        <v>3215062</v>
      </c>
      <c r="E139" s="95">
        <v>2</v>
      </c>
      <c r="F139" s="95"/>
      <c r="G139" s="95">
        <v>31000</v>
      </c>
      <c r="H139" s="95">
        <v>3.1</v>
      </c>
      <c r="I139" s="95"/>
      <c r="J139" s="95" t="s">
        <v>131</v>
      </c>
      <c r="K139" s="95" t="b">
        <v>0</v>
      </c>
      <c r="L139" s="95">
        <v>7</v>
      </c>
      <c r="M139" s="96">
        <v>2032</v>
      </c>
      <c r="N139" s="97">
        <v>191817.60000000001</v>
      </c>
      <c r="O139" s="98">
        <v>46020</v>
      </c>
      <c r="P139" s="98">
        <v>46020</v>
      </c>
      <c r="Q139" s="99">
        <v>0</v>
      </c>
    </row>
    <row r="140" spans="1:17">
      <c r="A140" s="7">
        <v>2025</v>
      </c>
      <c r="B140" s="8" t="s">
        <v>434</v>
      </c>
      <c r="C140" s="94" t="s">
        <v>435</v>
      </c>
      <c r="D140" s="95">
        <v>3215062</v>
      </c>
      <c r="E140" s="95">
        <v>2</v>
      </c>
      <c r="F140" s="95"/>
      <c r="G140" s="95">
        <v>31000</v>
      </c>
      <c r="H140" s="95">
        <v>3.1</v>
      </c>
      <c r="I140" s="95"/>
      <c r="J140" s="95" t="s">
        <v>131</v>
      </c>
      <c r="K140" s="95" t="b">
        <v>0</v>
      </c>
      <c r="L140" s="95">
        <v>4</v>
      </c>
      <c r="M140" s="96">
        <v>2029</v>
      </c>
      <c r="N140" s="97">
        <v>541436.11</v>
      </c>
      <c r="O140" s="98">
        <v>46020</v>
      </c>
      <c r="P140" s="98">
        <v>46020</v>
      </c>
      <c r="Q140" s="99">
        <v>0</v>
      </c>
    </row>
    <row r="141" spans="1:17">
      <c r="A141" s="7">
        <v>2025</v>
      </c>
      <c r="B141" s="8" t="s">
        <v>434</v>
      </c>
      <c r="C141" s="94" t="s">
        <v>435</v>
      </c>
      <c r="D141" s="95">
        <v>3215062</v>
      </c>
      <c r="E141" s="95">
        <v>2</v>
      </c>
      <c r="F141" s="95"/>
      <c r="G141" s="95">
        <v>31000</v>
      </c>
      <c r="H141" s="95">
        <v>3.1</v>
      </c>
      <c r="I141" s="95"/>
      <c r="J141" s="95" t="s">
        <v>131</v>
      </c>
      <c r="K141" s="95" t="b">
        <v>0</v>
      </c>
      <c r="L141" s="95">
        <v>12</v>
      </c>
      <c r="M141" s="96">
        <v>2037</v>
      </c>
      <c r="N141" s="97">
        <v>74266</v>
      </c>
      <c r="O141" s="98">
        <v>46020</v>
      </c>
      <c r="P141" s="98">
        <v>46020</v>
      </c>
      <c r="Q141" s="99">
        <v>0</v>
      </c>
    </row>
    <row r="142" spans="1:17">
      <c r="A142" s="7">
        <v>2025</v>
      </c>
      <c r="B142" s="8" t="s">
        <v>434</v>
      </c>
      <c r="C142" s="94" t="s">
        <v>435</v>
      </c>
      <c r="D142" s="95">
        <v>3215062</v>
      </c>
      <c r="E142" s="95">
        <v>2</v>
      </c>
      <c r="F142" s="95"/>
      <c r="G142" s="95">
        <v>31000</v>
      </c>
      <c r="H142" s="95">
        <v>3.1</v>
      </c>
      <c r="I142" s="95"/>
      <c r="J142" s="95" t="s">
        <v>131</v>
      </c>
      <c r="K142" s="95" t="b">
        <v>0</v>
      </c>
      <c r="L142" s="95">
        <v>1</v>
      </c>
      <c r="M142" s="96">
        <v>2026</v>
      </c>
      <c r="N142" s="97">
        <v>803535.6</v>
      </c>
      <c r="O142" s="98">
        <v>46020</v>
      </c>
      <c r="P142" s="98">
        <v>46020</v>
      </c>
      <c r="Q142" s="99">
        <v>0</v>
      </c>
    </row>
    <row r="143" spans="1:17">
      <c r="A143" s="7">
        <v>2025</v>
      </c>
      <c r="B143" s="8" t="s">
        <v>434</v>
      </c>
      <c r="C143" s="94" t="s">
        <v>435</v>
      </c>
      <c r="D143" s="95">
        <v>3215062</v>
      </c>
      <c r="E143" s="95">
        <v>2</v>
      </c>
      <c r="F143" s="95"/>
      <c r="G143" s="95">
        <v>31000</v>
      </c>
      <c r="H143" s="95">
        <v>3.1</v>
      </c>
      <c r="I143" s="95"/>
      <c r="J143" s="95" t="s">
        <v>131</v>
      </c>
      <c r="K143" s="95" t="b">
        <v>0</v>
      </c>
      <c r="L143" s="95">
        <v>8</v>
      </c>
      <c r="M143" s="96">
        <v>2033</v>
      </c>
      <c r="N143" s="97">
        <v>191817.60000000001</v>
      </c>
      <c r="O143" s="98">
        <v>46020</v>
      </c>
      <c r="P143" s="98">
        <v>46020</v>
      </c>
      <c r="Q143" s="99">
        <v>0</v>
      </c>
    </row>
    <row r="144" spans="1:17">
      <c r="A144" s="7">
        <v>2025</v>
      </c>
      <c r="B144" s="8" t="s">
        <v>434</v>
      </c>
      <c r="C144" s="94" t="s">
        <v>435</v>
      </c>
      <c r="D144" s="95">
        <v>3215062</v>
      </c>
      <c r="E144" s="95">
        <v>2</v>
      </c>
      <c r="F144" s="95"/>
      <c r="G144" s="95">
        <v>31000</v>
      </c>
      <c r="H144" s="95">
        <v>3.1</v>
      </c>
      <c r="I144" s="95"/>
      <c r="J144" s="95" t="s">
        <v>131</v>
      </c>
      <c r="K144" s="95" t="b">
        <v>0</v>
      </c>
      <c r="L144" s="95">
        <v>6</v>
      </c>
      <c r="M144" s="96">
        <v>2031</v>
      </c>
      <c r="N144" s="97">
        <v>191817.60000000001</v>
      </c>
      <c r="O144" s="98">
        <v>46020</v>
      </c>
      <c r="P144" s="98">
        <v>46020</v>
      </c>
      <c r="Q144" s="99">
        <v>0</v>
      </c>
    </row>
    <row r="145" spans="1:17">
      <c r="A145" s="7">
        <v>2025</v>
      </c>
      <c r="B145" s="8" t="s">
        <v>434</v>
      </c>
      <c r="C145" s="94" t="s">
        <v>435</v>
      </c>
      <c r="D145" s="95">
        <v>3215062</v>
      </c>
      <c r="E145" s="95">
        <v>2</v>
      </c>
      <c r="F145" s="95"/>
      <c r="G145" s="95">
        <v>31000</v>
      </c>
      <c r="H145" s="95">
        <v>3.1</v>
      </c>
      <c r="I145" s="95"/>
      <c r="J145" s="95" t="s">
        <v>131</v>
      </c>
      <c r="K145" s="95" t="b">
        <v>0</v>
      </c>
      <c r="L145" s="95">
        <v>9</v>
      </c>
      <c r="M145" s="96">
        <v>2034</v>
      </c>
      <c r="N145" s="97">
        <v>191817.60000000001</v>
      </c>
      <c r="O145" s="98">
        <v>46020</v>
      </c>
      <c r="P145" s="98">
        <v>46020</v>
      </c>
      <c r="Q145" s="99">
        <v>0</v>
      </c>
    </row>
    <row r="146" spans="1:17">
      <c r="A146" s="7">
        <v>2025</v>
      </c>
      <c r="B146" s="8" t="s">
        <v>434</v>
      </c>
      <c r="C146" s="94" t="s">
        <v>435</v>
      </c>
      <c r="D146" s="95">
        <v>3215062</v>
      </c>
      <c r="E146" s="95">
        <v>2</v>
      </c>
      <c r="F146" s="95"/>
      <c r="G146" s="95">
        <v>31000</v>
      </c>
      <c r="H146" s="95">
        <v>3.1</v>
      </c>
      <c r="I146" s="95"/>
      <c r="J146" s="95" t="s">
        <v>131</v>
      </c>
      <c r="K146" s="95" t="b">
        <v>0</v>
      </c>
      <c r="L146" s="95">
        <v>13</v>
      </c>
      <c r="M146" s="96">
        <v>2038</v>
      </c>
      <c r="N146" s="97">
        <v>74266</v>
      </c>
      <c r="O146" s="98">
        <v>46020</v>
      </c>
      <c r="P146" s="98">
        <v>46020</v>
      </c>
      <c r="Q146" s="99">
        <v>0</v>
      </c>
    </row>
    <row r="147" spans="1:17">
      <c r="A147" s="7">
        <v>2025</v>
      </c>
      <c r="B147" s="8" t="s">
        <v>434</v>
      </c>
      <c r="C147" s="94" t="s">
        <v>435</v>
      </c>
      <c r="D147" s="95">
        <v>3215062</v>
      </c>
      <c r="E147" s="95">
        <v>2</v>
      </c>
      <c r="F147" s="95"/>
      <c r="G147" s="95">
        <v>41000</v>
      </c>
      <c r="H147" s="95">
        <v>4.0999999999999996</v>
      </c>
      <c r="I147" s="95"/>
      <c r="J147" s="95" t="s">
        <v>132</v>
      </c>
      <c r="K147" s="95" t="b">
        <v>1</v>
      </c>
      <c r="L147" s="95">
        <v>11</v>
      </c>
      <c r="M147" s="96">
        <v>2036</v>
      </c>
      <c r="N147" s="97">
        <v>0</v>
      </c>
      <c r="O147" s="98">
        <v>46020</v>
      </c>
      <c r="P147" s="98">
        <v>46020</v>
      </c>
      <c r="Q147" s="99">
        <v>0</v>
      </c>
    </row>
    <row r="148" spans="1:17">
      <c r="A148" s="7">
        <v>2025</v>
      </c>
      <c r="B148" s="8" t="s">
        <v>434</v>
      </c>
      <c r="C148" s="94" t="s">
        <v>435</v>
      </c>
      <c r="D148" s="95">
        <v>3215062</v>
      </c>
      <c r="E148" s="95">
        <v>2</v>
      </c>
      <c r="F148" s="95"/>
      <c r="G148" s="95">
        <v>41000</v>
      </c>
      <c r="H148" s="95">
        <v>4.0999999999999996</v>
      </c>
      <c r="I148" s="95"/>
      <c r="J148" s="95" t="s">
        <v>132</v>
      </c>
      <c r="K148" s="95" t="b">
        <v>1</v>
      </c>
      <c r="L148" s="95">
        <v>3</v>
      </c>
      <c r="M148" s="96">
        <v>2028</v>
      </c>
      <c r="N148" s="97">
        <v>0</v>
      </c>
      <c r="O148" s="98">
        <v>46020</v>
      </c>
      <c r="P148" s="98">
        <v>46020</v>
      </c>
      <c r="Q148" s="99">
        <v>0</v>
      </c>
    </row>
    <row r="149" spans="1:17">
      <c r="A149" s="7">
        <v>2025</v>
      </c>
      <c r="B149" s="8" t="s">
        <v>434</v>
      </c>
      <c r="C149" s="94" t="s">
        <v>435</v>
      </c>
      <c r="D149" s="95">
        <v>3215062</v>
      </c>
      <c r="E149" s="95">
        <v>2</v>
      </c>
      <c r="F149" s="95"/>
      <c r="G149" s="95">
        <v>41000</v>
      </c>
      <c r="H149" s="95">
        <v>4.0999999999999996</v>
      </c>
      <c r="I149" s="95"/>
      <c r="J149" s="95" t="s">
        <v>132</v>
      </c>
      <c r="K149" s="95" t="b">
        <v>1</v>
      </c>
      <c r="L149" s="95">
        <v>8</v>
      </c>
      <c r="M149" s="96">
        <v>2033</v>
      </c>
      <c r="N149" s="97">
        <v>0</v>
      </c>
      <c r="O149" s="98">
        <v>46020</v>
      </c>
      <c r="P149" s="98">
        <v>46020</v>
      </c>
      <c r="Q149" s="99">
        <v>0</v>
      </c>
    </row>
    <row r="150" spans="1:17">
      <c r="A150" s="7">
        <v>2025</v>
      </c>
      <c r="B150" s="8" t="s">
        <v>434</v>
      </c>
      <c r="C150" s="94" t="s">
        <v>435</v>
      </c>
      <c r="D150" s="95">
        <v>3215062</v>
      </c>
      <c r="E150" s="95">
        <v>2</v>
      </c>
      <c r="F150" s="95"/>
      <c r="G150" s="95">
        <v>41000</v>
      </c>
      <c r="H150" s="95">
        <v>4.0999999999999996</v>
      </c>
      <c r="I150" s="95"/>
      <c r="J150" s="95" t="s">
        <v>132</v>
      </c>
      <c r="K150" s="95" t="b">
        <v>1</v>
      </c>
      <c r="L150" s="95">
        <v>9</v>
      </c>
      <c r="M150" s="96">
        <v>2034</v>
      </c>
      <c r="N150" s="97">
        <v>0</v>
      </c>
      <c r="O150" s="98">
        <v>46020</v>
      </c>
      <c r="P150" s="98">
        <v>46020</v>
      </c>
      <c r="Q150" s="99">
        <v>0</v>
      </c>
    </row>
    <row r="151" spans="1:17">
      <c r="A151" s="7">
        <v>2025</v>
      </c>
      <c r="B151" s="8" t="s">
        <v>434</v>
      </c>
      <c r="C151" s="94" t="s">
        <v>435</v>
      </c>
      <c r="D151" s="95">
        <v>3215062</v>
      </c>
      <c r="E151" s="95">
        <v>2</v>
      </c>
      <c r="F151" s="95"/>
      <c r="G151" s="95">
        <v>41000</v>
      </c>
      <c r="H151" s="95">
        <v>4.0999999999999996</v>
      </c>
      <c r="I151" s="95"/>
      <c r="J151" s="95" t="s">
        <v>132</v>
      </c>
      <c r="K151" s="95" t="b">
        <v>1</v>
      </c>
      <c r="L151" s="95">
        <v>5</v>
      </c>
      <c r="M151" s="96">
        <v>2030</v>
      </c>
      <c r="N151" s="97">
        <v>0</v>
      </c>
      <c r="O151" s="98">
        <v>46020</v>
      </c>
      <c r="P151" s="98">
        <v>46020</v>
      </c>
      <c r="Q151" s="99">
        <v>0</v>
      </c>
    </row>
    <row r="152" spans="1:17">
      <c r="A152" s="7">
        <v>2025</v>
      </c>
      <c r="B152" s="8" t="s">
        <v>434</v>
      </c>
      <c r="C152" s="94" t="s">
        <v>435</v>
      </c>
      <c r="D152" s="95">
        <v>3215062</v>
      </c>
      <c r="E152" s="95">
        <v>2</v>
      </c>
      <c r="F152" s="95"/>
      <c r="G152" s="95">
        <v>41000</v>
      </c>
      <c r="H152" s="95">
        <v>4.0999999999999996</v>
      </c>
      <c r="I152" s="95"/>
      <c r="J152" s="95" t="s">
        <v>132</v>
      </c>
      <c r="K152" s="95" t="b">
        <v>1</v>
      </c>
      <c r="L152" s="95">
        <v>4</v>
      </c>
      <c r="M152" s="96">
        <v>2029</v>
      </c>
      <c r="N152" s="97">
        <v>0</v>
      </c>
      <c r="O152" s="98">
        <v>46020</v>
      </c>
      <c r="P152" s="98">
        <v>46020</v>
      </c>
      <c r="Q152" s="99">
        <v>0</v>
      </c>
    </row>
    <row r="153" spans="1:17">
      <c r="A153" s="7">
        <v>2025</v>
      </c>
      <c r="B153" s="8" t="s">
        <v>434</v>
      </c>
      <c r="C153" s="94" t="s">
        <v>435</v>
      </c>
      <c r="D153" s="95">
        <v>3215062</v>
      </c>
      <c r="E153" s="95">
        <v>2</v>
      </c>
      <c r="F153" s="95"/>
      <c r="G153" s="95">
        <v>41000</v>
      </c>
      <c r="H153" s="95">
        <v>4.0999999999999996</v>
      </c>
      <c r="I153" s="95"/>
      <c r="J153" s="95" t="s">
        <v>132</v>
      </c>
      <c r="K153" s="95" t="b">
        <v>1</v>
      </c>
      <c r="L153" s="95">
        <v>2</v>
      </c>
      <c r="M153" s="96">
        <v>2027</v>
      </c>
      <c r="N153" s="97">
        <v>0</v>
      </c>
      <c r="O153" s="98">
        <v>46020</v>
      </c>
      <c r="P153" s="98">
        <v>46020</v>
      </c>
      <c r="Q153" s="99">
        <v>0</v>
      </c>
    </row>
    <row r="154" spans="1:17">
      <c r="A154" s="7">
        <v>2025</v>
      </c>
      <c r="B154" s="8" t="s">
        <v>434</v>
      </c>
      <c r="C154" s="94" t="s">
        <v>435</v>
      </c>
      <c r="D154" s="95">
        <v>3215062</v>
      </c>
      <c r="E154" s="95">
        <v>2</v>
      </c>
      <c r="F154" s="95"/>
      <c r="G154" s="95">
        <v>41000</v>
      </c>
      <c r="H154" s="95">
        <v>4.0999999999999996</v>
      </c>
      <c r="I154" s="95"/>
      <c r="J154" s="95" t="s">
        <v>132</v>
      </c>
      <c r="K154" s="95" t="b">
        <v>1</v>
      </c>
      <c r="L154" s="95">
        <v>13</v>
      </c>
      <c r="M154" s="96">
        <v>2038</v>
      </c>
      <c r="N154" s="97">
        <v>0</v>
      </c>
      <c r="O154" s="98">
        <v>46020</v>
      </c>
      <c r="P154" s="98">
        <v>46020</v>
      </c>
      <c r="Q154" s="99">
        <v>0</v>
      </c>
    </row>
    <row r="155" spans="1:17">
      <c r="A155" s="7">
        <v>2025</v>
      </c>
      <c r="B155" s="8" t="s">
        <v>434</v>
      </c>
      <c r="C155" s="94" t="s">
        <v>435</v>
      </c>
      <c r="D155" s="95">
        <v>3215062</v>
      </c>
      <c r="E155" s="95">
        <v>2</v>
      </c>
      <c r="F155" s="95"/>
      <c r="G155" s="95">
        <v>41000</v>
      </c>
      <c r="H155" s="95">
        <v>4.0999999999999996</v>
      </c>
      <c r="I155" s="95"/>
      <c r="J155" s="95" t="s">
        <v>132</v>
      </c>
      <c r="K155" s="95" t="b">
        <v>1</v>
      </c>
      <c r="L155" s="95">
        <v>6</v>
      </c>
      <c r="M155" s="96">
        <v>2031</v>
      </c>
      <c r="N155" s="97">
        <v>0</v>
      </c>
      <c r="O155" s="98">
        <v>46020</v>
      </c>
      <c r="P155" s="98">
        <v>46020</v>
      </c>
      <c r="Q155" s="99">
        <v>0</v>
      </c>
    </row>
    <row r="156" spans="1:17">
      <c r="A156" s="7">
        <v>2025</v>
      </c>
      <c r="B156" s="8" t="s">
        <v>434</v>
      </c>
      <c r="C156" s="94" t="s">
        <v>435</v>
      </c>
      <c r="D156" s="95">
        <v>3215062</v>
      </c>
      <c r="E156" s="95">
        <v>2</v>
      </c>
      <c r="F156" s="95"/>
      <c r="G156" s="95">
        <v>41000</v>
      </c>
      <c r="H156" s="95">
        <v>4.0999999999999996</v>
      </c>
      <c r="I156" s="95"/>
      <c r="J156" s="95" t="s">
        <v>132</v>
      </c>
      <c r="K156" s="95" t="b">
        <v>1</v>
      </c>
      <c r="L156" s="95">
        <v>7</v>
      </c>
      <c r="M156" s="96">
        <v>2032</v>
      </c>
      <c r="N156" s="97">
        <v>0</v>
      </c>
      <c r="O156" s="98">
        <v>46020</v>
      </c>
      <c r="P156" s="98">
        <v>46020</v>
      </c>
      <c r="Q156" s="99">
        <v>0</v>
      </c>
    </row>
    <row r="157" spans="1:17">
      <c r="A157" s="7">
        <v>2025</v>
      </c>
      <c r="B157" s="8" t="s">
        <v>434</v>
      </c>
      <c r="C157" s="94" t="s">
        <v>435</v>
      </c>
      <c r="D157" s="95">
        <v>3215062</v>
      </c>
      <c r="E157" s="95">
        <v>2</v>
      </c>
      <c r="F157" s="95"/>
      <c r="G157" s="95">
        <v>41000</v>
      </c>
      <c r="H157" s="95">
        <v>4.0999999999999996</v>
      </c>
      <c r="I157" s="95"/>
      <c r="J157" s="95" t="s">
        <v>132</v>
      </c>
      <c r="K157" s="95" t="b">
        <v>1</v>
      </c>
      <c r="L157" s="95">
        <v>10</v>
      </c>
      <c r="M157" s="96">
        <v>2035</v>
      </c>
      <c r="N157" s="97">
        <v>0</v>
      </c>
      <c r="O157" s="98">
        <v>46020</v>
      </c>
      <c r="P157" s="98">
        <v>46020</v>
      </c>
      <c r="Q157" s="99">
        <v>0</v>
      </c>
    </row>
    <row r="158" spans="1:17">
      <c r="A158" s="7">
        <v>2025</v>
      </c>
      <c r="B158" s="8" t="s">
        <v>434</v>
      </c>
      <c r="C158" s="94" t="s">
        <v>435</v>
      </c>
      <c r="D158" s="95">
        <v>3215062</v>
      </c>
      <c r="E158" s="95">
        <v>2</v>
      </c>
      <c r="F158" s="95"/>
      <c r="G158" s="95">
        <v>41000</v>
      </c>
      <c r="H158" s="95">
        <v>4.0999999999999996</v>
      </c>
      <c r="I158" s="95"/>
      <c r="J158" s="95" t="s">
        <v>132</v>
      </c>
      <c r="K158" s="95" t="b">
        <v>1</v>
      </c>
      <c r="L158" s="95">
        <v>0</v>
      </c>
      <c r="M158" s="96">
        <v>2025</v>
      </c>
      <c r="N158" s="97">
        <v>1175516</v>
      </c>
      <c r="O158" s="98">
        <v>46020</v>
      </c>
      <c r="P158" s="98">
        <v>46020</v>
      </c>
      <c r="Q158" s="99">
        <v>0</v>
      </c>
    </row>
    <row r="159" spans="1:17">
      <c r="A159" s="7">
        <v>2025</v>
      </c>
      <c r="B159" s="8" t="s">
        <v>434</v>
      </c>
      <c r="C159" s="94" t="s">
        <v>435</v>
      </c>
      <c r="D159" s="95">
        <v>3215062</v>
      </c>
      <c r="E159" s="95">
        <v>2</v>
      </c>
      <c r="F159" s="95"/>
      <c r="G159" s="95">
        <v>41000</v>
      </c>
      <c r="H159" s="95">
        <v>4.0999999999999996</v>
      </c>
      <c r="I159" s="95"/>
      <c r="J159" s="95" t="s">
        <v>132</v>
      </c>
      <c r="K159" s="95" t="b">
        <v>1</v>
      </c>
      <c r="L159" s="95">
        <v>12</v>
      </c>
      <c r="M159" s="96">
        <v>2037</v>
      </c>
      <c r="N159" s="97">
        <v>0</v>
      </c>
      <c r="O159" s="98">
        <v>46020</v>
      </c>
      <c r="P159" s="98">
        <v>46020</v>
      </c>
      <c r="Q159" s="99">
        <v>0</v>
      </c>
    </row>
    <row r="160" spans="1:17">
      <c r="A160" s="7">
        <v>2025</v>
      </c>
      <c r="B160" s="8" t="s">
        <v>434</v>
      </c>
      <c r="C160" s="94" t="s">
        <v>435</v>
      </c>
      <c r="D160" s="95">
        <v>3215062</v>
      </c>
      <c r="E160" s="95">
        <v>2</v>
      </c>
      <c r="F160" s="95"/>
      <c r="G160" s="95">
        <v>41000</v>
      </c>
      <c r="H160" s="95">
        <v>4.0999999999999996</v>
      </c>
      <c r="I160" s="95"/>
      <c r="J160" s="95" t="s">
        <v>132</v>
      </c>
      <c r="K160" s="95" t="b">
        <v>1</v>
      </c>
      <c r="L160" s="95">
        <v>1</v>
      </c>
      <c r="M160" s="96">
        <v>2026</v>
      </c>
      <c r="N160" s="97">
        <v>0</v>
      </c>
      <c r="O160" s="98">
        <v>46020</v>
      </c>
      <c r="P160" s="98">
        <v>46020</v>
      </c>
      <c r="Q160" s="99">
        <v>0</v>
      </c>
    </row>
    <row r="161" spans="1:17">
      <c r="A161" s="7">
        <v>2025</v>
      </c>
      <c r="B161" s="8" t="s">
        <v>434</v>
      </c>
      <c r="C161" s="94" t="s">
        <v>435</v>
      </c>
      <c r="D161" s="95">
        <v>3215062</v>
      </c>
      <c r="E161" s="95">
        <v>2</v>
      </c>
      <c r="F161" s="95"/>
      <c r="G161" s="95">
        <v>45100</v>
      </c>
      <c r="H161" s="95" t="s">
        <v>201</v>
      </c>
      <c r="I161" s="95"/>
      <c r="J161" s="95" t="s">
        <v>135</v>
      </c>
      <c r="K161" s="95" t="b">
        <v>0</v>
      </c>
      <c r="L161" s="95">
        <v>8</v>
      </c>
      <c r="M161" s="96">
        <v>2033</v>
      </c>
      <c r="N161" s="97">
        <v>0</v>
      </c>
      <c r="O161" s="98">
        <v>46020</v>
      </c>
      <c r="P161" s="98">
        <v>46020</v>
      </c>
      <c r="Q161" s="99">
        <v>0</v>
      </c>
    </row>
    <row r="162" spans="1:17">
      <c r="A162" s="7">
        <v>2025</v>
      </c>
      <c r="B162" s="8" t="s">
        <v>434</v>
      </c>
      <c r="C162" s="94" t="s">
        <v>435</v>
      </c>
      <c r="D162" s="95">
        <v>3215062</v>
      </c>
      <c r="E162" s="95">
        <v>2</v>
      </c>
      <c r="F162" s="95"/>
      <c r="G162" s="95">
        <v>45100</v>
      </c>
      <c r="H162" s="95" t="s">
        <v>201</v>
      </c>
      <c r="I162" s="95"/>
      <c r="J162" s="95" t="s">
        <v>135</v>
      </c>
      <c r="K162" s="95" t="b">
        <v>0</v>
      </c>
      <c r="L162" s="95">
        <v>10</v>
      </c>
      <c r="M162" s="96">
        <v>2035</v>
      </c>
      <c r="N162" s="97">
        <v>0</v>
      </c>
      <c r="O162" s="98">
        <v>46020</v>
      </c>
      <c r="P162" s="98">
        <v>46020</v>
      </c>
      <c r="Q162" s="99">
        <v>0</v>
      </c>
    </row>
    <row r="163" spans="1:17">
      <c r="A163" s="7">
        <v>2025</v>
      </c>
      <c r="B163" s="8" t="s">
        <v>434</v>
      </c>
      <c r="C163" s="94" t="s">
        <v>435</v>
      </c>
      <c r="D163" s="95">
        <v>3215062</v>
      </c>
      <c r="E163" s="95">
        <v>2</v>
      </c>
      <c r="F163" s="95"/>
      <c r="G163" s="95">
        <v>45100</v>
      </c>
      <c r="H163" s="95" t="s">
        <v>201</v>
      </c>
      <c r="I163" s="95"/>
      <c r="J163" s="95" t="s">
        <v>135</v>
      </c>
      <c r="K163" s="95" t="b">
        <v>0</v>
      </c>
      <c r="L163" s="95">
        <v>5</v>
      </c>
      <c r="M163" s="96">
        <v>2030</v>
      </c>
      <c r="N163" s="97">
        <v>0</v>
      </c>
      <c r="O163" s="98">
        <v>46020</v>
      </c>
      <c r="P163" s="98">
        <v>46020</v>
      </c>
      <c r="Q163" s="99">
        <v>0</v>
      </c>
    </row>
    <row r="164" spans="1:17">
      <c r="A164" s="7">
        <v>2025</v>
      </c>
      <c r="B164" s="8" t="s">
        <v>434</v>
      </c>
      <c r="C164" s="94" t="s">
        <v>435</v>
      </c>
      <c r="D164" s="95">
        <v>3215062</v>
      </c>
      <c r="E164" s="95">
        <v>2</v>
      </c>
      <c r="F164" s="95"/>
      <c r="G164" s="95">
        <v>45100</v>
      </c>
      <c r="H164" s="95" t="s">
        <v>201</v>
      </c>
      <c r="I164" s="95"/>
      <c r="J164" s="95" t="s">
        <v>135</v>
      </c>
      <c r="K164" s="95" t="b">
        <v>0</v>
      </c>
      <c r="L164" s="95">
        <v>4</v>
      </c>
      <c r="M164" s="96">
        <v>2029</v>
      </c>
      <c r="N164" s="97">
        <v>0</v>
      </c>
      <c r="O164" s="98">
        <v>46020</v>
      </c>
      <c r="P164" s="98">
        <v>46020</v>
      </c>
      <c r="Q164" s="99">
        <v>0</v>
      </c>
    </row>
    <row r="165" spans="1:17">
      <c r="A165" s="7">
        <v>2025</v>
      </c>
      <c r="B165" s="8" t="s">
        <v>434</v>
      </c>
      <c r="C165" s="94" t="s">
        <v>435</v>
      </c>
      <c r="D165" s="95">
        <v>3215062</v>
      </c>
      <c r="E165" s="95">
        <v>2</v>
      </c>
      <c r="F165" s="95"/>
      <c r="G165" s="95">
        <v>45100</v>
      </c>
      <c r="H165" s="95" t="s">
        <v>201</v>
      </c>
      <c r="I165" s="95"/>
      <c r="J165" s="95" t="s">
        <v>135</v>
      </c>
      <c r="K165" s="95" t="b">
        <v>0</v>
      </c>
      <c r="L165" s="95">
        <v>3</v>
      </c>
      <c r="M165" s="96">
        <v>2028</v>
      </c>
      <c r="N165" s="97">
        <v>0</v>
      </c>
      <c r="O165" s="98">
        <v>46020</v>
      </c>
      <c r="P165" s="98">
        <v>46020</v>
      </c>
      <c r="Q165" s="99">
        <v>0</v>
      </c>
    </row>
    <row r="166" spans="1:17">
      <c r="A166" s="7">
        <v>2025</v>
      </c>
      <c r="B166" s="8" t="s">
        <v>434</v>
      </c>
      <c r="C166" s="94" t="s">
        <v>435</v>
      </c>
      <c r="D166" s="95">
        <v>3215062</v>
      </c>
      <c r="E166" s="95">
        <v>2</v>
      </c>
      <c r="F166" s="95"/>
      <c r="G166" s="95">
        <v>45100</v>
      </c>
      <c r="H166" s="95" t="s">
        <v>201</v>
      </c>
      <c r="I166" s="95"/>
      <c r="J166" s="95" t="s">
        <v>135</v>
      </c>
      <c r="K166" s="95" t="b">
        <v>0</v>
      </c>
      <c r="L166" s="95">
        <v>1</v>
      </c>
      <c r="M166" s="96">
        <v>2026</v>
      </c>
      <c r="N166" s="97">
        <v>0</v>
      </c>
      <c r="O166" s="98">
        <v>46020</v>
      </c>
      <c r="P166" s="98">
        <v>46020</v>
      </c>
      <c r="Q166" s="99">
        <v>0</v>
      </c>
    </row>
    <row r="167" spans="1:17">
      <c r="A167" s="7">
        <v>2025</v>
      </c>
      <c r="B167" s="8" t="s">
        <v>434</v>
      </c>
      <c r="C167" s="94" t="s">
        <v>435</v>
      </c>
      <c r="D167" s="95">
        <v>3215062</v>
      </c>
      <c r="E167" s="95">
        <v>2</v>
      </c>
      <c r="F167" s="95"/>
      <c r="G167" s="95">
        <v>45100</v>
      </c>
      <c r="H167" s="95" t="s">
        <v>201</v>
      </c>
      <c r="I167" s="95"/>
      <c r="J167" s="95" t="s">
        <v>135</v>
      </c>
      <c r="K167" s="95" t="b">
        <v>0</v>
      </c>
      <c r="L167" s="95">
        <v>0</v>
      </c>
      <c r="M167" s="96">
        <v>2025</v>
      </c>
      <c r="N167" s="97">
        <v>0</v>
      </c>
      <c r="O167" s="98">
        <v>46020</v>
      </c>
      <c r="P167" s="98">
        <v>46020</v>
      </c>
      <c r="Q167" s="99">
        <v>0</v>
      </c>
    </row>
    <row r="168" spans="1:17">
      <c r="A168" s="7">
        <v>2025</v>
      </c>
      <c r="B168" s="8" t="s">
        <v>434</v>
      </c>
      <c r="C168" s="94" t="s">
        <v>435</v>
      </c>
      <c r="D168" s="95">
        <v>3215062</v>
      </c>
      <c r="E168" s="95">
        <v>2</v>
      </c>
      <c r="F168" s="95"/>
      <c r="G168" s="95">
        <v>45100</v>
      </c>
      <c r="H168" s="95" t="s">
        <v>201</v>
      </c>
      <c r="I168" s="95"/>
      <c r="J168" s="95" t="s">
        <v>135</v>
      </c>
      <c r="K168" s="95" t="b">
        <v>0</v>
      </c>
      <c r="L168" s="95">
        <v>7</v>
      </c>
      <c r="M168" s="96">
        <v>2032</v>
      </c>
      <c r="N168" s="97">
        <v>0</v>
      </c>
      <c r="O168" s="98">
        <v>46020</v>
      </c>
      <c r="P168" s="98">
        <v>46020</v>
      </c>
      <c r="Q168" s="99">
        <v>0</v>
      </c>
    </row>
    <row r="169" spans="1:17">
      <c r="A169" s="7">
        <v>2025</v>
      </c>
      <c r="B169" s="8" t="s">
        <v>434</v>
      </c>
      <c r="C169" s="94" t="s">
        <v>435</v>
      </c>
      <c r="D169" s="95">
        <v>3215062</v>
      </c>
      <c r="E169" s="95">
        <v>2</v>
      </c>
      <c r="F169" s="95"/>
      <c r="G169" s="95">
        <v>45100</v>
      </c>
      <c r="H169" s="95" t="s">
        <v>201</v>
      </c>
      <c r="I169" s="95"/>
      <c r="J169" s="95" t="s">
        <v>135</v>
      </c>
      <c r="K169" s="95" t="b">
        <v>0</v>
      </c>
      <c r="L169" s="95">
        <v>11</v>
      </c>
      <c r="M169" s="96">
        <v>2036</v>
      </c>
      <c r="N169" s="97">
        <v>0</v>
      </c>
      <c r="O169" s="98">
        <v>46020</v>
      </c>
      <c r="P169" s="98">
        <v>46020</v>
      </c>
      <c r="Q169" s="99">
        <v>0</v>
      </c>
    </row>
    <row r="170" spans="1:17">
      <c r="A170" s="7">
        <v>2025</v>
      </c>
      <c r="B170" s="8" t="s">
        <v>434</v>
      </c>
      <c r="C170" s="94" t="s">
        <v>435</v>
      </c>
      <c r="D170" s="95">
        <v>3215062</v>
      </c>
      <c r="E170" s="95">
        <v>2</v>
      </c>
      <c r="F170" s="95"/>
      <c r="G170" s="95">
        <v>45100</v>
      </c>
      <c r="H170" s="95" t="s">
        <v>201</v>
      </c>
      <c r="I170" s="95"/>
      <c r="J170" s="95" t="s">
        <v>135</v>
      </c>
      <c r="K170" s="95" t="b">
        <v>0</v>
      </c>
      <c r="L170" s="95">
        <v>9</v>
      </c>
      <c r="M170" s="96">
        <v>2034</v>
      </c>
      <c r="N170" s="97">
        <v>0</v>
      </c>
      <c r="O170" s="98">
        <v>46020</v>
      </c>
      <c r="P170" s="98">
        <v>46020</v>
      </c>
      <c r="Q170" s="99">
        <v>0</v>
      </c>
    </row>
    <row r="171" spans="1:17">
      <c r="A171" s="7">
        <v>2025</v>
      </c>
      <c r="B171" s="8" t="s">
        <v>434</v>
      </c>
      <c r="C171" s="94" t="s">
        <v>435</v>
      </c>
      <c r="D171" s="95">
        <v>3215062</v>
      </c>
      <c r="E171" s="95">
        <v>2</v>
      </c>
      <c r="F171" s="95"/>
      <c r="G171" s="95">
        <v>45100</v>
      </c>
      <c r="H171" s="95" t="s">
        <v>201</v>
      </c>
      <c r="I171" s="95"/>
      <c r="J171" s="95" t="s">
        <v>135</v>
      </c>
      <c r="K171" s="95" t="b">
        <v>0</v>
      </c>
      <c r="L171" s="95">
        <v>12</v>
      </c>
      <c r="M171" s="96">
        <v>2037</v>
      </c>
      <c r="N171" s="97">
        <v>0</v>
      </c>
      <c r="O171" s="98">
        <v>46020</v>
      </c>
      <c r="P171" s="98">
        <v>46020</v>
      </c>
      <c r="Q171" s="99">
        <v>0</v>
      </c>
    </row>
    <row r="172" spans="1:17">
      <c r="A172" s="7">
        <v>2025</v>
      </c>
      <c r="B172" s="8" t="s">
        <v>434</v>
      </c>
      <c r="C172" s="94" t="s">
        <v>435</v>
      </c>
      <c r="D172" s="95">
        <v>3215062</v>
      </c>
      <c r="E172" s="95">
        <v>2</v>
      </c>
      <c r="F172" s="95"/>
      <c r="G172" s="95">
        <v>45100</v>
      </c>
      <c r="H172" s="95" t="s">
        <v>201</v>
      </c>
      <c r="I172" s="95"/>
      <c r="J172" s="95" t="s">
        <v>135</v>
      </c>
      <c r="K172" s="95" t="b">
        <v>0</v>
      </c>
      <c r="L172" s="95">
        <v>13</v>
      </c>
      <c r="M172" s="96">
        <v>2038</v>
      </c>
      <c r="N172" s="97">
        <v>0</v>
      </c>
      <c r="O172" s="98">
        <v>46020</v>
      </c>
      <c r="P172" s="98">
        <v>46020</v>
      </c>
      <c r="Q172" s="99">
        <v>0</v>
      </c>
    </row>
    <row r="173" spans="1:17">
      <c r="A173" s="7">
        <v>2025</v>
      </c>
      <c r="B173" s="8" t="s">
        <v>434</v>
      </c>
      <c r="C173" s="94" t="s">
        <v>435</v>
      </c>
      <c r="D173" s="95">
        <v>3215062</v>
      </c>
      <c r="E173" s="95">
        <v>2</v>
      </c>
      <c r="F173" s="95"/>
      <c r="G173" s="95">
        <v>45100</v>
      </c>
      <c r="H173" s="95" t="s">
        <v>201</v>
      </c>
      <c r="I173" s="95"/>
      <c r="J173" s="95" t="s">
        <v>135</v>
      </c>
      <c r="K173" s="95" t="b">
        <v>0</v>
      </c>
      <c r="L173" s="95">
        <v>2</v>
      </c>
      <c r="M173" s="96">
        <v>2027</v>
      </c>
      <c r="N173" s="97">
        <v>0</v>
      </c>
      <c r="O173" s="98">
        <v>46020</v>
      </c>
      <c r="P173" s="98">
        <v>46020</v>
      </c>
      <c r="Q173" s="99">
        <v>0</v>
      </c>
    </row>
    <row r="174" spans="1:17">
      <c r="A174" s="7">
        <v>2025</v>
      </c>
      <c r="B174" s="8" t="s">
        <v>434</v>
      </c>
      <c r="C174" s="94" t="s">
        <v>435</v>
      </c>
      <c r="D174" s="95">
        <v>3215062</v>
      </c>
      <c r="E174" s="95">
        <v>2</v>
      </c>
      <c r="F174" s="95"/>
      <c r="G174" s="95">
        <v>45100</v>
      </c>
      <c r="H174" s="95" t="s">
        <v>201</v>
      </c>
      <c r="I174" s="95"/>
      <c r="J174" s="95" t="s">
        <v>135</v>
      </c>
      <c r="K174" s="95" t="b">
        <v>0</v>
      </c>
      <c r="L174" s="95">
        <v>6</v>
      </c>
      <c r="M174" s="96">
        <v>2031</v>
      </c>
      <c r="N174" s="97">
        <v>0</v>
      </c>
      <c r="O174" s="98">
        <v>46020</v>
      </c>
      <c r="P174" s="98">
        <v>46020</v>
      </c>
      <c r="Q174" s="99">
        <v>0</v>
      </c>
    </row>
    <row r="175" spans="1:17">
      <c r="A175" s="7">
        <v>2025</v>
      </c>
      <c r="B175" s="8" t="s">
        <v>434</v>
      </c>
      <c r="C175" s="94" t="s">
        <v>435</v>
      </c>
      <c r="D175" s="95">
        <v>3215062</v>
      </c>
      <c r="E175" s="95">
        <v>2</v>
      </c>
      <c r="F175" s="95"/>
      <c r="G175" s="95">
        <v>43000</v>
      </c>
      <c r="H175" s="95">
        <v>4.3</v>
      </c>
      <c r="I175" s="95"/>
      <c r="J175" s="95" t="s">
        <v>136</v>
      </c>
      <c r="K175" s="95" t="b">
        <v>0</v>
      </c>
      <c r="L175" s="95">
        <v>0</v>
      </c>
      <c r="M175" s="96">
        <v>2025</v>
      </c>
      <c r="N175" s="97">
        <v>2979293.45</v>
      </c>
      <c r="O175" s="98">
        <v>46020</v>
      </c>
      <c r="P175" s="98">
        <v>46020</v>
      </c>
      <c r="Q175" s="99">
        <v>0</v>
      </c>
    </row>
    <row r="176" spans="1:17">
      <c r="A176" s="7">
        <v>2025</v>
      </c>
      <c r="B176" s="8" t="s">
        <v>434</v>
      </c>
      <c r="C176" s="94" t="s">
        <v>435</v>
      </c>
      <c r="D176" s="95">
        <v>3215062</v>
      </c>
      <c r="E176" s="95">
        <v>2</v>
      </c>
      <c r="F176" s="95"/>
      <c r="G176" s="95">
        <v>43000</v>
      </c>
      <c r="H176" s="95">
        <v>4.3</v>
      </c>
      <c r="I176" s="95"/>
      <c r="J176" s="95" t="s">
        <v>136</v>
      </c>
      <c r="K176" s="95" t="b">
        <v>0</v>
      </c>
      <c r="L176" s="95">
        <v>8</v>
      </c>
      <c r="M176" s="96">
        <v>2033</v>
      </c>
      <c r="N176" s="97">
        <v>0</v>
      </c>
      <c r="O176" s="98">
        <v>46020</v>
      </c>
      <c r="P176" s="98">
        <v>46020</v>
      </c>
      <c r="Q176" s="99">
        <v>0</v>
      </c>
    </row>
    <row r="177" spans="1:17">
      <c r="A177" s="7">
        <v>2025</v>
      </c>
      <c r="B177" s="8" t="s">
        <v>434</v>
      </c>
      <c r="C177" s="94" t="s">
        <v>435</v>
      </c>
      <c r="D177" s="95">
        <v>3215062</v>
      </c>
      <c r="E177" s="95">
        <v>2</v>
      </c>
      <c r="F177" s="95"/>
      <c r="G177" s="95">
        <v>43000</v>
      </c>
      <c r="H177" s="95">
        <v>4.3</v>
      </c>
      <c r="I177" s="95"/>
      <c r="J177" s="95" t="s">
        <v>136</v>
      </c>
      <c r="K177" s="95" t="b">
        <v>0</v>
      </c>
      <c r="L177" s="95">
        <v>10</v>
      </c>
      <c r="M177" s="96">
        <v>2035</v>
      </c>
      <c r="N177" s="97">
        <v>0</v>
      </c>
      <c r="O177" s="98">
        <v>46020</v>
      </c>
      <c r="P177" s="98">
        <v>46020</v>
      </c>
      <c r="Q177" s="99">
        <v>0</v>
      </c>
    </row>
    <row r="178" spans="1:17">
      <c r="A178" s="7">
        <v>2025</v>
      </c>
      <c r="B178" s="8" t="s">
        <v>434</v>
      </c>
      <c r="C178" s="94" t="s">
        <v>435</v>
      </c>
      <c r="D178" s="95">
        <v>3215062</v>
      </c>
      <c r="E178" s="95">
        <v>2</v>
      </c>
      <c r="F178" s="95"/>
      <c r="G178" s="95">
        <v>43000</v>
      </c>
      <c r="H178" s="95">
        <v>4.3</v>
      </c>
      <c r="I178" s="95"/>
      <c r="J178" s="95" t="s">
        <v>136</v>
      </c>
      <c r="K178" s="95" t="b">
        <v>0</v>
      </c>
      <c r="L178" s="95">
        <v>5</v>
      </c>
      <c r="M178" s="96">
        <v>2030</v>
      </c>
      <c r="N178" s="97">
        <v>0</v>
      </c>
      <c r="O178" s="98">
        <v>46020</v>
      </c>
      <c r="P178" s="98">
        <v>46020</v>
      </c>
      <c r="Q178" s="99">
        <v>0</v>
      </c>
    </row>
    <row r="179" spans="1:17">
      <c r="A179" s="7">
        <v>2025</v>
      </c>
      <c r="B179" s="8" t="s">
        <v>434</v>
      </c>
      <c r="C179" s="94" t="s">
        <v>435</v>
      </c>
      <c r="D179" s="95">
        <v>3215062</v>
      </c>
      <c r="E179" s="95">
        <v>2</v>
      </c>
      <c r="F179" s="95"/>
      <c r="G179" s="95">
        <v>43000</v>
      </c>
      <c r="H179" s="95">
        <v>4.3</v>
      </c>
      <c r="I179" s="95"/>
      <c r="J179" s="95" t="s">
        <v>136</v>
      </c>
      <c r="K179" s="95" t="b">
        <v>0</v>
      </c>
      <c r="L179" s="95">
        <v>7</v>
      </c>
      <c r="M179" s="96">
        <v>2032</v>
      </c>
      <c r="N179" s="97">
        <v>0</v>
      </c>
      <c r="O179" s="98">
        <v>46020</v>
      </c>
      <c r="P179" s="98">
        <v>46020</v>
      </c>
      <c r="Q179" s="99">
        <v>0</v>
      </c>
    </row>
    <row r="180" spans="1:17">
      <c r="A180" s="7">
        <v>2025</v>
      </c>
      <c r="B180" s="8" t="s">
        <v>434</v>
      </c>
      <c r="C180" s="94" t="s">
        <v>435</v>
      </c>
      <c r="D180" s="95">
        <v>3215062</v>
      </c>
      <c r="E180" s="95">
        <v>2</v>
      </c>
      <c r="F180" s="95"/>
      <c r="G180" s="95">
        <v>43000</v>
      </c>
      <c r="H180" s="95">
        <v>4.3</v>
      </c>
      <c r="I180" s="95"/>
      <c r="J180" s="95" t="s">
        <v>136</v>
      </c>
      <c r="K180" s="95" t="b">
        <v>0</v>
      </c>
      <c r="L180" s="95">
        <v>4</v>
      </c>
      <c r="M180" s="96">
        <v>2029</v>
      </c>
      <c r="N180" s="97">
        <v>0</v>
      </c>
      <c r="O180" s="98">
        <v>46020</v>
      </c>
      <c r="P180" s="98">
        <v>46020</v>
      </c>
      <c r="Q180" s="99">
        <v>0</v>
      </c>
    </row>
    <row r="181" spans="1:17">
      <c r="A181" s="7">
        <v>2025</v>
      </c>
      <c r="B181" s="8" t="s">
        <v>434</v>
      </c>
      <c r="C181" s="94" t="s">
        <v>435</v>
      </c>
      <c r="D181" s="95">
        <v>3215062</v>
      </c>
      <c r="E181" s="95">
        <v>2</v>
      </c>
      <c r="F181" s="95"/>
      <c r="G181" s="95">
        <v>43000</v>
      </c>
      <c r="H181" s="95">
        <v>4.3</v>
      </c>
      <c r="I181" s="95"/>
      <c r="J181" s="95" t="s">
        <v>136</v>
      </c>
      <c r="K181" s="95" t="b">
        <v>0</v>
      </c>
      <c r="L181" s="95">
        <v>12</v>
      </c>
      <c r="M181" s="96">
        <v>2037</v>
      </c>
      <c r="N181" s="97">
        <v>0</v>
      </c>
      <c r="O181" s="98">
        <v>46020</v>
      </c>
      <c r="P181" s="98">
        <v>46020</v>
      </c>
      <c r="Q181" s="99">
        <v>0</v>
      </c>
    </row>
    <row r="182" spans="1:17">
      <c r="A182" s="7">
        <v>2025</v>
      </c>
      <c r="B182" s="8" t="s">
        <v>434</v>
      </c>
      <c r="C182" s="94" t="s">
        <v>435</v>
      </c>
      <c r="D182" s="95">
        <v>3215062</v>
      </c>
      <c r="E182" s="95">
        <v>2</v>
      </c>
      <c r="F182" s="95"/>
      <c r="G182" s="95">
        <v>43000</v>
      </c>
      <c r="H182" s="95">
        <v>4.3</v>
      </c>
      <c r="I182" s="95"/>
      <c r="J182" s="95" t="s">
        <v>136</v>
      </c>
      <c r="K182" s="95" t="b">
        <v>0</v>
      </c>
      <c r="L182" s="95">
        <v>3</v>
      </c>
      <c r="M182" s="96">
        <v>2028</v>
      </c>
      <c r="N182" s="97">
        <v>0</v>
      </c>
      <c r="O182" s="98">
        <v>46020</v>
      </c>
      <c r="P182" s="98">
        <v>46020</v>
      </c>
      <c r="Q182" s="99">
        <v>0</v>
      </c>
    </row>
    <row r="183" spans="1:17">
      <c r="A183" s="7">
        <v>2025</v>
      </c>
      <c r="B183" s="8" t="s">
        <v>434</v>
      </c>
      <c r="C183" s="94" t="s">
        <v>435</v>
      </c>
      <c r="D183" s="95">
        <v>3215062</v>
      </c>
      <c r="E183" s="95">
        <v>2</v>
      </c>
      <c r="F183" s="95"/>
      <c r="G183" s="95">
        <v>43000</v>
      </c>
      <c r="H183" s="95">
        <v>4.3</v>
      </c>
      <c r="I183" s="95"/>
      <c r="J183" s="95" t="s">
        <v>136</v>
      </c>
      <c r="K183" s="95" t="b">
        <v>0</v>
      </c>
      <c r="L183" s="95">
        <v>11</v>
      </c>
      <c r="M183" s="96">
        <v>2036</v>
      </c>
      <c r="N183" s="97">
        <v>0</v>
      </c>
      <c r="O183" s="98">
        <v>46020</v>
      </c>
      <c r="P183" s="98">
        <v>46020</v>
      </c>
      <c r="Q183" s="99">
        <v>0</v>
      </c>
    </row>
    <row r="184" spans="1:17">
      <c r="A184" s="7">
        <v>2025</v>
      </c>
      <c r="B184" s="8" t="s">
        <v>434</v>
      </c>
      <c r="C184" s="94" t="s">
        <v>435</v>
      </c>
      <c r="D184" s="95">
        <v>3215062</v>
      </c>
      <c r="E184" s="95">
        <v>2</v>
      </c>
      <c r="F184" s="95"/>
      <c r="G184" s="95">
        <v>43000</v>
      </c>
      <c r="H184" s="95">
        <v>4.3</v>
      </c>
      <c r="I184" s="95"/>
      <c r="J184" s="95" t="s">
        <v>136</v>
      </c>
      <c r="K184" s="95" t="b">
        <v>0</v>
      </c>
      <c r="L184" s="95">
        <v>13</v>
      </c>
      <c r="M184" s="96">
        <v>2038</v>
      </c>
      <c r="N184" s="97">
        <v>0</v>
      </c>
      <c r="O184" s="98">
        <v>46020</v>
      </c>
      <c r="P184" s="98">
        <v>46020</v>
      </c>
      <c r="Q184" s="99">
        <v>0</v>
      </c>
    </row>
    <row r="185" spans="1:17">
      <c r="A185" s="7">
        <v>2025</v>
      </c>
      <c r="B185" s="8" t="s">
        <v>434</v>
      </c>
      <c r="C185" s="94" t="s">
        <v>435</v>
      </c>
      <c r="D185" s="95">
        <v>3215062</v>
      </c>
      <c r="E185" s="95">
        <v>2</v>
      </c>
      <c r="F185" s="95"/>
      <c r="G185" s="95">
        <v>43000</v>
      </c>
      <c r="H185" s="95">
        <v>4.3</v>
      </c>
      <c r="I185" s="95"/>
      <c r="J185" s="95" t="s">
        <v>136</v>
      </c>
      <c r="K185" s="95" t="b">
        <v>0</v>
      </c>
      <c r="L185" s="95">
        <v>1</v>
      </c>
      <c r="M185" s="96">
        <v>2026</v>
      </c>
      <c r="N185" s="97">
        <v>0</v>
      </c>
      <c r="O185" s="98">
        <v>46020</v>
      </c>
      <c r="P185" s="98">
        <v>46020</v>
      </c>
      <c r="Q185" s="99">
        <v>0</v>
      </c>
    </row>
    <row r="186" spans="1:17">
      <c r="A186" s="7">
        <v>2025</v>
      </c>
      <c r="B186" s="8" t="s">
        <v>434</v>
      </c>
      <c r="C186" s="94" t="s">
        <v>435</v>
      </c>
      <c r="D186" s="95">
        <v>3215062</v>
      </c>
      <c r="E186" s="95">
        <v>2</v>
      </c>
      <c r="F186" s="95"/>
      <c r="G186" s="95">
        <v>43000</v>
      </c>
      <c r="H186" s="95">
        <v>4.3</v>
      </c>
      <c r="I186" s="95"/>
      <c r="J186" s="95" t="s">
        <v>136</v>
      </c>
      <c r="K186" s="95" t="b">
        <v>0</v>
      </c>
      <c r="L186" s="95">
        <v>2</v>
      </c>
      <c r="M186" s="96">
        <v>2027</v>
      </c>
      <c r="N186" s="97">
        <v>0</v>
      </c>
      <c r="O186" s="98">
        <v>46020</v>
      </c>
      <c r="P186" s="98">
        <v>46020</v>
      </c>
      <c r="Q186" s="99">
        <v>0</v>
      </c>
    </row>
    <row r="187" spans="1:17">
      <c r="A187" s="7">
        <v>2025</v>
      </c>
      <c r="B187" s="8" t="s">
        <v>434</v>
      </c>
      <c r="C187" s="94" t="s">
        <v>435</v>
      </c>
      <c r="D187" s="95">
        <v>3215062</v>
      </c>
      <c r="E187" s="95">
        <v>2</v>
      </c>
      <c r="F187" s="95"/>
      <c r="G187" s="95">
        <v>43000</v>
      </c>
      <c r="H187" s="95">
        <v>4.3</v>
      </c>
      <c r="I187" s="95"/>
      <c r="J187" s="95" t="s">
        <v>136</v>
      </c>
      <c r="K187" s="95" t="b">
        <v>0</v>
      </c>
      <c r="L187" s="95">
        <v>9</v>
      </c>
      <c r="M187" s="96">
        <v>2034</v>
      </c>
      <c r="N187" s="97">
        <v>0</v>
      </c>
      <c r="O187" s="98">
        <v>46020</v>
      </c>
      <c r="P187" s="98">
        <v>46020</v>
      </c>
      <c r="Q187" s="99">
        <v>0</v>
      </c>
    </row>
    <row r="188" spans="1:17">
      <c r="A188" s="7">
        <v>2025</v>
      </c>
      <c r="B188" s="8" t="s">
        <v>434</v>
      </c>
      <c r="C188" s="94" t="s">
        <v>435</v>
      </c>
      <c r="D188" s="95">
        <v>3215062</v>
      </c>
      <c r="E188" s="95">
        <v>2</v>
      </c>
      <c r="F188" s="95"/>
      <c r="G188" s="95">
        <v>43000</v>
      </c>
      <c r="H188" s="95">
        <v>4.3</v>
      </c>
      <c r="I188" s="95"/>
      <c r="J188" s="95" t="s">
        <v>136</v>
      </c>
      <c r="K188" s="95" t="b">
        <v>0</v>
      </c>
      <c r="L188" s="95">
        <v>6</v>
      </c>
      <c r="M188" s="96">
        <v>2031</v>
      </c>
      <c r="N188" s="97">
        <v>0</v>
      </c>
      <c r="O188" s="98">
        <v>46020</v>
      </c>
      <c r="P188" s="98">
        <v>46020</v>
      </c>
      <c r="Q188" s="99">
        <v>0</v>
      </c>
    </row>
    <row r="189" spans="1:17">
      <c r="A189" s="7">
        <v>2025</v>
      </c>
      <c r="B189" s="8" t="s">
        <v>434</v>
      </c>
      <c r="C189" s="94" t="s">
        <v>435</v>
      </c>
      <c r="D189" s="95">
        <v>3215062</v>
      </c>
      <c r="E189" s="95">
        <v>2</v>
      </c>
      <c r="F189" s="95"/>
      <c r="G189" s="95">
        <v>22100</v>
      </c>
      <c r="H189" s="95" t="s">
        <v>199</v>
      </c>
      <c r="I189" s="95"/>
      <c r="J189" s="95" t="s">
        <v>129</v>
      </c>
      <c r="K189" s="95" t="b">
        <v>0</v>
      </c>
      <c r="L189" s="95">
        <v>6</v>
      </c>
      <c r="M189" s="96">
        <v>2031</v>
      </c>
      <c r="N189" s="97">
        <v>1186923</v>
      </c>
      <c r="O189" s="98">
        <v>46020</v>
      </c>
      <c r="P189" s="98">
        <v>46020</v>
      </c>
      <c r="Q189" s="99">
        <v>0</v>
      </c>
    </row>
    <row r="190" spans="1:17">
      <c r="A190" s="7">
        <v>2025</v>
      </c>
      <c r="B190" s="8" t="s">
        <v>434</v>
      </c>
      <c r="C190" s="94" t="s">
        <v>435</v>
      </c>
      <c r="D190" s="95">
        <v>3215062</v>
      </c>
      <c r="E190" s="95">
        <v>2</v>
      </c>
      <c r="F190" s="95"/>
      <c r="G190" s="95">
        <v>22100</v>
      </c>
      <c r="H190" s="95" t="s">
        <v>199</v>
      </c>
      <c r="I190" s="95"/>
      <c r="J190" s="95" t="s">
        <v>129</v>
      </c>
      <c r="K190" s="95" t="b">
        <v>0</v>
      </c>
      <c r="L190" s="95">
        <v>4</v>
      </c>
      <c r="M190" s="96">
        <v>2029</v>
      </c>
      <c r="N190" s="97">
        <v>797256.49</v>
      </c>
      <c r="O190" s="98">
        <v>46020</v>
      </c>
      <c r="P190" s="98">
        <v>46020</v>
      </c>
      <c r="Q190" s="99">
        <v>0</v>
      </c>
    </row>
    <row r="191" spans="1:17">
      <c r="A191" s="7">
        <v>2025</v>
      </c>
      <c r="B191" s="8" t="s">
        <v>434</v>
      </c>
      <c r="C191" s="94" t="s">
        <v>435</v>
      </c>
      <c r="D191" s="95">
        <v>3215062</v>
      </c>
      <c r="E191" s="95">
        <v>2</v>
      </c>
      <c r="F191" s="95"/>
      <c r="G191" s="95">
        <v>22100</v>
      </c>
      <c r="H191" s="95" t="s">
        <v>199</v>
      </c>
      <c r="I191" s="95"/>
      <c r="J191" s="95" t="s">
        <v>129</v>
      </c>
      <c r="K191" s="95" t="b">
        <v>0</v>
      </c>
      <c r="L191" s="95">
        <v>3</v>
      </c>
      <c r="M191" s="96">
        <v>2028</v>
      </c>
      <c r="N191" s="97">
        <v>523369.4</v>
      </c>
      <c r="O191" s="98">
        <v>46020</v>
      </c>
      <c r="P191" s="98">
        <v>46020</v>
      </c>
      <c r="Q191" s="99">
        <v>0</v>
      </c>
    </row>
    <row r="192" spans="1:17">
      <c r="A192" s="7">
        <v>2025</v>
      </c>
      <c r="B192" s="8" t="s">
        <v>434</v>
      </c>
      <c r="C192" s="94" t="s">
        <v>435</v>
      </c>
      <c r="D192" s="95">
        <v>3215062</v>
      </c>
      <c r="E192" s="95">
        <v>2</v>
      </c>
      <c r="F192" s="95"/>
      <c r="G192" s="95">
        <v>22100</v>
      </c>
      <c r="H192" s="95" t="s">
        <v>199</v>
      </c>
      <c r="I192" s="95"/>
      <c r="J192" s="95" t="s">
        <v>129</v>
      </c>
      <c r="K192" s="95" t="b">
        <v>0</v>
      </c>
      <c r="L192" s="95">
        <v>7</v>
      </c>
      <c r="M192" s="96">
        <v>2032</v>
      </c>
      <c r="N192" s="97">
        <v>1249777</v>
      </c>
      <c r="O192" s="98">
        <v>46020</v>
      </c>
      <c r="P192" s="98">
        <v>46020</v>
      </c>
      <c r="Q192" s="99">
        <v>0</v>
      </c>
    </row>
    <row r="193" spans="1:17">
      <c r="A193" s="7">
        <v>2025</v>
      </c>
      <c r="B193" s="8" t="s">
        <v>434</v>
      </c>
      <c r="C193" s="94" t="s">
        <v>435</v>
      </c>
      <c r="D193" s="95">
        <v>3215062</v>
      </c>
      <c r="E193" s="95">
        <v>2</v>
      </c>
      <c r="F193" s="95"/>
      <c r="G193" s="95">
        <v>22100</v>
      </c>
      <c r="H193" s="95" t="s">
        <v>199</v>
      </c>
      <c r="I193" s="95"/>
      <c r="J193" s="95" t="s">
        <v>129</v>
      </c>
      <c r="K193" s="95" t="b">
        <v>0</v>
      </c>
      <c r="L193" s="95">
        <v>9</v>
      </c>
      <c r="M193" s="96">
        <v>2034</v>
      </c>
      <c r="N193" s="97">
        <v>1205636.43</v>
      </c>
      <c r="O193" s="98">
        <v>46020</v>
      </c>
      <c r="P193" s="98">
        <v>46020</v>
      </c>
      <c r="Q193" s="99">
        <v>0</v>
      </c>
    </row>
    <row r="194" spans="1:17">
      <c r="A194" s="7">
        <v>2025</v>
      </c>
      <c r="B194" s="8" t="s">
        <v>434</v>
      </c>
      <c r="C194" s="94" t="s">
        <v>435</v>
      </c>
      <c r="D194" s="95">
        <v>3215062</v>
      </c>
      <c r="E194" s="95">
        <v>2</v>
      </c>
      <c r="F194" s="95"/>
      <c r="G194" s="95">
        <v>22100</v>
      </c>
      <c r="H194" s="95" t="s">
        <v>199</v>
      </c>
      <c r="I194" s="95"/>
      <c r="J194" s="95" t="s">
        <v>129</v>
      </c>
      <c r="K194" s="95" t="b">
        <v>0</v>
      </c>
      <c r="L194" s="95">
        <v>2</v>
      </c>
      <c r="M194" s="96">
        <v>2027</v>
      </c>
      <c r="N194" s="97">
        <v>12000000</v>
      </c>
      <c r="O194" s="98">
        <v>46020</v>
      </c>
      <c r="P194" s="98">
        <v>46020</v>
      </c>
      <c r="Q194" s="99">
        <v>0</v>
      </c>
    </row>
    <row r="195" spans="1:17">
      <c r="A195" s="7">
        <v>2025</v>
      </c>
      <c r="B195" s="8" t="s">
        <v>434</v>
      </c>
      <c r="C195" s="94" t="s">
        <v>435</v>
      </c>
      <c r="D195" s="95">
        <v>3215062</v>
      </c>
      <c r="E195" s="95">
        <v>2</v>
      </c>
      <c r="F195" s="95"/>
      <c r="G195" s="95">
        <v>22100</v>
      </c>
      <c r="H195" s="95" t="s">
        <v>199</v>
      </c>
      <c r="I195" s="95"/>
      <c r="J195" s="95" t="s">
        <v>129</v>
      </c>
      <c r="K195" s="95" t="b">
        <v>0</v>
      </c>
      <c r="L195" s="95">
        <v>11</v>
      </c>
      <c r="M195" s="96">
        <v>2036</v>
      </c>
      <c r="N195" s="97">
        <v>1650962</v>
      </c>
      <c r="O195" s="98">
        <v>46020</v>
      </c>
      <c r="P195" s="98">
        <v>46020</v>
      </c>
      <c r="Q195" s="99">
        <v>0</v>
      </c>
    </row>
    <row r="196" spans="1:17">
      <c r="A196" s="7">
        <v>2025</v>
      </c>
      <c r="B196" s="8" t="s">
        <v>434</v>
      </c>
      <c r="C196" s="94" t="s">
        <v>435</v>
      </c>
      <c r="D196" s="95">
        <v>3215062</v>
      </c>
      <c r="E196" s="95">
        <v>2</v>
      </c>
      <c r="F196" s="95"/>
      <c r="G196" s="95">
        <v>22100</v>
      </c>
      <c r="H196" s="95" t="s">
        <v>199</v>
      </c>
      <c r="I196" s="95"/>
      <c r="J196" s="95" t="s">
        <v>129</v>
      </c>
      <c r="K196" s="95" t="b">
        <v>0</v>
      </c>
      <c r="L196" s="95">
        <v>10</v>
      </c>
      <c r="M196" s="96">
        <v>2035</v>
      </c>
      <c r="N196" s="97">
        <v>1518068</v>
      </c>
      <c r="O196" s="98">
        <v>46020</v>
      </c>
      <c r="P196" s="98">
        <v>46020</v>
      </c>
      <c r="Q196" s="99">
        <v>0</v>
      </c>
    </row>
    <row r="197" spans="1:17">
      <c r="A197" s="7">
        <v>2025</v>
      </c>
      <c r="B197" s="8" t="s">
        <v>434</v>
      </c>
      <c r="C197" s="94" t="s">
        <v>435</v>
      </c>
      <c r="D197" s="95">
        <v>3215062</v>
      </c>
      <c r="E197" s="95">
        <v>2</v>
      </c>
      <c r="F197" s="95"/>
      <c r="G197" s="95">
        <v>22100</v>
      </c>
      <c r="H197" s="95" t="s">
        <v>199</v>
      </c>
      <c r="I197" s="95"/>
      <c r="J197" s="95" t="s">
        <v>129</v>
      </c>
      <c r="K197" s="95" t="b">
        <v>0</v>
      </c>
      <c r="L197" s="95">
        <v>13</v>
      </c>
      <c r="M197" s="96">
        <v>2038</v>
      </c>
      <c r="N197" s="97">
        <v>1985751</v>
      </c>
      <c r="O197" s="98">
        <v>46020</v>
      </c>
      <c r="P197" s="98">
        <v>46020</v>
      </c>
      <c r="Q197" s="99">
        <v>0</v>
      </c>
    </row>
    <row r="198" spans="1:17">
      <c r="A198" s="7">
        <v>2025</v>
      </c>
      <c r="B198" s="8" t="s">
        <v>434</v>
      </c>
      <c r="C198" s="94" t="s">
        <v>435</v>
      </c>
      <c r="D198" s="95">
        <v>3215062</v>
      </c>
      <c r="E198" s="95">
        <v>2</v>
      </c>
      <c r="F198" s="95"/>
      <c r="G198" s="95">
        <v>22100</v>
      </c>
      <c r="H198" s="95" t="s">
        <v>199</v>
      </c>
      <c r="I198" s="95"/>
      <c r="J198" s="95" t="s">
        <v>129</v>
      </c>
      <c r="K198" s="95" t="b">
        <v>0</v>
      </c>
      <c r="L198" s="95">
        <v>8</v>
      </c>
      <c r="M198" s="96">
        <v>2033</v>
      </c>
      <c r="N198" s="97">
        <v>1156483.32</v>
      </c>
      <c r="O198" s="98">
        <v>46020</v>
      </c>
      <c r="P198" s="98">
        <v>46020</v>
      </c>
      <c r="Q198" s="99">
        <v>0</v>
      </c>
    </row>
    <row r="199" spans="1:17">
      <c r="A199" s="7">
        <v>2025</v>
      </c>
      <c r="B199" s="8" t="s">
        <v>434</v>
      </c>
      <c r="C199" s="94" t="s">
        <v>435</v>
      </c>
      <c r="D199" s="95">
        <v>3215062</v>
      </c>
      <c r="E199" s="95">
        <v>2</v>
      </c>
      <c r="F199" s="95"/>
      <c r="G199" s="95">
        <v>22100</v>
      </c>
      <c r="H199" s="95" t="s">
        <v>199</v>
      </c>
      <c r="I199" s="95"/>
      <c r="J199" s="95" t="s">
        <v>129</v>
      </c>
      <c r="K199" s="95" t="b">
        <v>0</v>
      </c>
      <c r="L199" s="95">
        <v>5</v>
      </c>
      <c r="M199" s="96">
        <v>2030</v>
      </c>
      <c r="N199" s="97">
        <v>1160631</v>
      </c>
      <c r="O199" s="98">
        <v>46020</v>
      </c>
      <c r="P199" s="98">
        <v>46020</v>
      </c>
      <c r="Q199" s="99">
        <v>0</v>
      </c>
    </row>
    <row r="200" spans="1:17">
      <c r="A200" s="7">
        <v>2025</v>
      </c>
      <c r="B200" s="8" t="s">
        <v>434</v>
      </c>
      <c r="C200" s="94" t="s">
        <v>435</v>
      </c>
      <c r="D200" s="95">
        <v>3215062</v>
      </c>
      <c r="E200" s="95">
        <v>2</v>
      </c>
      <c r="F200" s="95"/>
      <c r="G200" s="95">
        <v>22100</v>
      </c>
      <c r="H200" s="95" t="s">
        <v>199</v>
      </c>
      <c r="I200" s="95"/>
      <c r="J200" s="95" t="s">
        <v>129</v>
      </c>
      <c r="K200" s="95" t="b">
        <v>0</v>
      </c>
      <c r="L200" s="95">
        <v>1</v>
      </c>
      <c r="M200" s="96">
        <v>2026</v>
      </c>
      <c r="N200" s="97">
        <v>16100000</v>
      </c>
      <c r="O200" s="98">
        <v>46020</v>
      </c>
      <c r="P200" s="98">
        <v>46020</v>
      </c>
      <c r="Q200" s="99">
        <v>0</v>
      </c>
    </row>
    <row r="201" spans="1:17">
      <c r="A201" s="7">
        <v>2025</v>
      </c>
      <c r="B201" s="8" t="s">
        <v>434</v>
      </c>
      <c r="C201" s="94" t="s">
        <v>435</v>
      </c>
      <c r="D201" s="95">
        <v>3215062</v>
      </c>
      <c r="E201" s="95">
        <v>2</v>
      </c>
      <c r="F201" s="95"/>
      <c r="G201" s="95">
        <v>22100</v>
      </c>
      <c r="H201" s="95" t="s">
        <v>199</v>
      </c>
      <c r="I201" s="95"/>
      <c r="J201" s="95" t="s">
        <v>129</v>
      </c>
      <c r="K201" s="95" t="b">
        <v>0</v>
      </c>
      <c r="L201" s="95">
        <v>0</v>
      </c>
      <c r="M201" s="96">
        <v>2025</v>
      </c>
      <c r="N201" s="97">
        <v>28221528.940000001</v>
      </c>
      <c r="O201" s="98">
        <v>46020</v>
      </c>
      <c r="P201" s="98">
        <v>46020</v>
      </c>
      <c r="Q201" s="99">
        <v>0</v>
      </c>
    </row>
    <row r="202" spans="1:17">
      <c r="A202" s="7">
        <v>2025</v>
      </c>
      <c r="B202" s="8" t="s">
        <v>434</v>
      </c>
      <c r="C202" s="94" t="s">
        <v>435</v>
      </c>
      <c r="D202" s="95">
        <v>3215062</v>
      </c>
      <c r="E202" s="95">
        <v>2</v>
      </c>
      <c r="F202" s="95"/>
      <c r="G202" s="95">
        <v>22100</v>
      </c>
      <c r="H202" s="95" t="s">
        <v>199</v>
      </c>
      <c r="I202" s="95"/>
      <c r="J202" s="95" t="s">
        <v>129</v>
      </c>
      <c r="K202" s="95" t="b">
        <v>0</v>
      </c>
      <c r="L202" s="95">
        <v>12</v>
      </c>
      <c r="M202" s="96">
        <v>2037</v>
      </c>
      <c r="N202" s="97">
        <v>1797796</v>
      </c>
      <c r="O202" s="98">
        <v>46020</v>
      </c>
      <c r="P202" s="98">
        <v>46020</v>
      </c>
      <c r="Q202" s="99">
        <v>0</v>
      </c>
    </row>
    <row r="203" spans="1:17">
      <c r="A203" s="7">
        <v>2025</v>
      </c>
      <c r="B203" s="8" t="s">
        <v>434</v>
      </c>
      <c r="C203" s="94" t="s">
        <v>435</v>
      </c>
      <c r="D203" s="95">
        <v>3215062</v>
      </c>
      <c r="E203" s="95">
        <v>2</v>
      </c>
      <c r="F203" s="95"/>
      <c r="G203" s="95">
        <v>82226</v>
      </c>
      <c r="H203" s="95" t="s">
        <v>208</v>
      </c>
      <c r="I203" s="95" t="s">
        <v>437</v>
      </c>
      <c r="J203" s="95" t="s">
        <v>157</v>
      </c>
      <c r="K203" s="95" t="b">
        <v>0</v>
      </c>
      <c r="L203" s="95">
        <v>9</v>
      </c>
      <c r="M203" s="96">
        <v>2034</v>
      </c>
      <c r="N203" s="97">
        <v>2.2800000000000001E-2</v>
      </c>
      <c r="O203" s="98">
        <v>46020</v>
      </c>
      <c r="P203" s="98">
        <v>46020</v>
      </c>
      <c r="Q203" s="99">
        <v>0</v>
      </c>
    </row>
    <row r="204" spans="1:17">
      <c r="A204" s="7">
        <v>2025</v>
      </c>
      <c r="B204" s="8" t="s">
        <v>434</v>
      </c>
      <c r="C204" s="94" t="s">
        <v>435</v>
      </c>
      <c r="D204" s="95">
        <v>3215062</v>
      </c>
      <c r="E204" s="95">
        <v>2</v>
      </c>
      <c r="F204" s="95"/>
      <c r="G204" s="95">
        <v>82226</v>
      </c>
      <c r="H204" s="95" t="s">
        <v>208</v>
      </c>
      <c r="I204" s="95" t="s">
        <v>437</v>
      </c>
      <c r="J204" s="95" t="s">
        <v>157</v>
      </c>
      <c r="K204" s="95" t="b">
        <v>0</v>
      </c>
      <c r="L204" s="95">
        <v>8</v>
      </c>
      <c r="M204" s="96">
        <v>2033</v>
      </c>
      <c r="N204" s="97">
        <v>2.2700000000000001E-2</v>
      </c>
      <c r="O204" s="98">
        <v>46020</v>
      </c>
      <c r="P204" s="98">
        <v>46020</v>
      </c>
      <c r="Q204" s="99">
        <v>0</v>
      </c>
    </row>
    <row r="205" spans="1:17">
      <c r="A205" s="7">
        <v>2025</v>
      </c>
      <c r="B205" s="8" t="s">
        <v>434</v>
      </c>
      <c r="C205" s="94" t="s">
        <v>435</v>
      </c>
      <c r="D205" s="95">
        <v>3215062</v>
      </c>
      <c r="E205" s="95">
        <v>2</v>
      </c>
      <c r="F205" s="95"/>
      <c r="G205" s="95">
        <v>82226</v>
      </c>
      <c r="H205" s="95" t="s">
        <v>208</v>
      </c>
      <c r="I205" s="95" t="s">
        <v>437</v>
      </c>
      <c r="J205" s="95" t="s">
        <v>157</v>
      </c>
      <c r="K205" s="95" t="b">
        <v>0</v>
      </c>
      <c r="L205" s="95">
        <v>10</v>
      </c>
      <c r="M205" s="96">
        <v>2035</v>
      </c>
      <c r="N205" s="97">
        <v>2.7400000000000001E-2</v>
      </c>
      <c r="O205" s="98">
        <v>46020</v>
      </c>
      <c r="P205" s="98">
        <v>46020</v>
      </c>
      <c r="Q205" s="99">
        <v>0</v>
      </c>
    </row>
    <row r="206" spans="1:17">
      <c r="A206" s="7">
        <v>2025</v>
      </c>
      <c r="B206" s="8" t="s">
        <v>434</v>
      </c>
      <c r="C206" s="94" t="s">
        <v>435</v>
      </c>
      <c r="D206" s="95">
        <v>3215062</v>
      </c>
      <c r="E206" s="95">
        <v>2</v>
      </c>
      <c r="F206" s="95"/>
      <c r="G206" s="95">
        <v>82226</v>
      </c>
      <c r="H206" s="95" t="s">
        <v>208</v>
      </c>
      <c r="I206" s="95" t="s">
        <v>437</v>
      </c>
      <c r="J206" s="95" t="s">
        <v>157</v>
      </c>
      <c r="K206" s="95" t="b">
        <v>0</v>
      </c>
      <c r="L206" s="95">
        <v>4</v>
      </c>
      <c r="M206" s="96">
        <v>2029</v>
      </c>
      <c r="N206" s="97">
        <v>2.64E-2</v>
      </c>
      <c r="O206" s="98">
        <v>46020</v>
      </c>
      <c r="P206" s="98">
        <v>46020</v>
      </c>
      <c r="Q206" s="99">
        <v>0</v>
      </c>
    </row>
    <row r="207" spans="1:17">
      <c r="A207" s="7">
        <v>2025</v>
      </c>
      <c r="B207" s="8" t="s">
        <v>434</v>
      </c>
      <c r="C207" s="94" t="s">
        <v>435</v>
      </c>
      <c r="D207" s="95">
        <v>3215062</v>
      </c>
      <c r="E207" s="95">
        <v>2</v>
      </c>
      <c r="F207" s="95"/>
      <c r="G207" s="95">
        <v>82226</v>
      </c>
      <c r="H207" s="95" t="s">
        <v>208</v>
      </c>
      <c r="I207" s="95" t="s">
        <v>437</v>
      </c>
      <c r="J207" s="95" t="s">
        <v>157</v>
      </c>
      <c r="K207" s="95" t="b">
        <v>0</v>
      </c>
      <c r="L207" s="95">
        <v>11</v>
      </c>
      <c r="M207" s="96">
        <v>2036</v>
      </c>
      <c r="N207" s="97">
        <v>2.69E-2</v>
      </c>
      <c r="O207" s="98">
        <v>46020</v>
      </c>
      <c r="P207" s="98">
        <v>46020</v>
      </c>
      <c r="Q207" s="99">
        <v>0</v>
      </c>
    </row>
    <row r="208" spans="1:17">
      <c r="A208" s="7">
        <v>2025</v>
      </c>
      <c r="B208" s="8" t="s">
        <v>434</v>
      </c>
      <c r="C208" s="94" t="s">
        <v>435</v>
      </c>
      <c r="D208" s="95">
        <v>3215062</v>
      </c>
      <c r="E208" s="95">
        <v>2</v>
      </c>
      <c r="F208" s="95"/>
      <c r="G208" s="95">
        <v>82226</v>
      </c>
      <c r="H208" s="95" t="s">
        <v>208</v>
      </c>
      <c r="I208" s="95" t="s">
        <v>437</v>
      </c>
      <c r="J208" s="95" t="s">
        <v>157</v>
      </c>
      <c r="K208" s="95" t="b">
        <v>0</v>
      </c>
      <c r="L208" s="95">
        <v>12</v>
      </c>
      <c r="M208" s="96">
        <v>2037</v>
      </c>
      <c r="N208" s="97">
        <v>2.86E-2</v>
      </c>
      <c r="O208" s="98">
        <v>46020</v>
      </c>
      <c r="P208" s="98">
        <v>46020</v>
      </c>
      <c r="Q208" s="99">
        <v>0</v>
      </c>
    </row>
    <row r="209" spans="1:17">
      <c r="A209" s="7">
        <v>2025</v>
      </c>
      <c r="B209" s="8" t="s">
        <v>434</v>
      </c>
      <c r="C209" s="94" t="s">
        <v>435</v>
      </c>
      <c r="D209" s="95">
        <v>3215062</v>
      </c>
      <c r="E209" s="95">
        <v>2</v>
      </c>
      <c r="F209" s="95"/>
      <c r="G209" s="95">
        <v>82226</v>
      </c>
      <c r="H209" s="95" t="s">
        <v>208</v>
      </c>
      <c r="I209" s="95" t="s">
        <v>437</v>
      </c>
      <c r="J209" s="95" t="s">
        <v>157</v>
      </c>
      <c r="K209" s="95" t="b">
        <v>0</v>
      </c>
      <c r="L209" s="95">
        <v>0</v>
      </c>
      <c r="M209" s="96">
        <v>2025</v>
      </c>
      <c r="N209" s="97">
        <v>1.66E-2</v>
      </c>
      <c r="O209" s="98">
        <v>46020</v>
      </c>
      <c r="P209" s="98">
        <v>46020</v>
      </c>
      <c r="Q209" s="99">
        <v>0</v>
      </c>
    </row>
    <row r="210" spans="1:17">
      <c r="A210" s="7">
        <v>2025</v>
      </c>
      <c r="B210" s="8" t="s">
        <v>434</v>
      </c>
      <c r="C210" s="94" t="s">
        <v>435</v>
      </c>
      <c r="D210" s="95">
        <v>3215062</v>
      </c>
      <c r="E210" s="95">
        <v>2</v>
      </c>
      <c r="F210" s="95"/>
      <c r="G210" s="95">
        <v>82226</v>
      </c>
      <c r="H210" s="95" t="s">
        <v>208</v>
      </c>
      <c r="I210" s="95" t="s">
        <v>437</v>
      </c>
      <c r="J210" s="95" t="s">
        <v>157</v>
      </c>
      <c r="K210" s="95" t="b">
        <v>0</v>
      </c>
      <c r="L210" s="95">
        <v>6</v>
      </c>
      <c r="M210" s="96">
        <v>2031</v>
      </c>
      <c r="N210" s="97">
        <v>2.52E-2</v>
      </c>
      <c r="O210" s="98">
        <v>46020</v>
      </c>
      <c r="P210" s="98">
        <v>46020</v>
      </c>
      <c r="Q210" s="99">
        <v>0</v>
      </c>
    </row>
    <row r="211" spans="1:17">
      <c r="A211" s="7">
        <v>2025</v>
      </c>
      <c r="B211" s="8" t="s">
        <v>434</v>
      </c>
      <c r="C211" s="94" t="s">
        <v>435</v>
      </c>
      <c r="D211" s="95">
        <v>3215062</v>
      </c>
      <c r="E211" s="95">
        <v>2</v>
      </c>
      <c r="F211" s="95"/>
      <c r="G211" s="95">
        <v>82226</v>
      </c>
      <c r="H211" s="95" t="s">
        <v>208</v>
      </c>
      <c r="I211" s="95" t="s">
        <v>437</v>
      </c>
      <c r="J211" s="95" t="s">
        <v>157</v>
      </c>
      <c r="K211" s="95" t="b">
        <v>0</v>
      </c>
      <c r="L211" s="95">
        <v>7</v>
      </c>
      <c r="M211" s="96">
        <v>2032</v>
      </c>
      <c r="N211" s="97">
        <v>2.53E-2</v>
      </c>
      <c r="O211" s="98">
        <v>46020</v>
      </c>
      <c r="P211" s="98">
        <v>46020</v>
      </c>
      <c r="Q211" s="99">
        <v>0</v>
      </c>
    </row>
    <row r="212" spans="1:17">
      <c r="A212" s="7">
        <v>2025</v>
      </c>
      <c r="B212" s="8" t="s">
        <v>434</v>
      </c>
      <c r="C212" s="94" t="s">
        <v>435</v>
      </c>
      <c r="D212" s="95">
        <v>3215062</v>
      </c>
      <c r="E212" s="95">
        <v>2</v>
      </c>
      <c r="F212" s="95"/>
      <c r="G212" s="95">
        <v>82226</v>
      </c>
      <c r="H212" s="95" t="s">
        <v>208</v>
      </c>
      <c r="I212" s="95" t="s">
        <v>437</v>
      </c>
      <c r="J212" s="95" t="s">
        <v>157</v>
      </c>
      <c r="K212" s="95" t="b">
        <v>0</v>
      </c>
      <c r="L212" s="95">
        <v>3</v>
      </c>
      <c r="M212" s="96">
        <v>2028</v>
      </c>
      <c r="N212" s="97">
        <v>2.41E-2</v>
      </c>
      <c r="O212" s="98">
        <v>46020</v>
      </c>
      <c r="P212" s="98">
        <v>46020</v>
      </c>
      <c r="Q212" s="99">
        <v>0</v>
      </c>
    </row>
    <row r="213" spans="1:17">
      <c r="A213" s="7">
        <v>2025</v>
      </c>
      <c r="B213" s="8" t="s">
        <v>434</v>
      </c>
      <c r="C213" s="94" t="s">
        <v>435</v>
      </c>
      <c r="D213" s="95">
        <v>3215062</v>
      </c>
      <c r="E213" s="95">
        <v>2</v>
      </c>
      <c r="F213" s="95"/>
      <c r="G213" s="95">
        <v>82226</v>
      </c>
      <c r="H213" s="95" t="s">
        <v>208</v>
      </c>
      <c r="I213" s="95" t="s">
        <v>437</v>
      </c>
      <c r="J213" s="95" t="s">
        <v>157</v>
      </c>
      <c r="K213" s="95" t="b">
        <v>0</v>
      </c>
      <c r="L213" s="95">
        <v>13</v>
      </c>
      <c r="M213" s="96">
        <v>2038</v>
      </c>
      <c r="N213" s="97">
        <v>3.0700000000000002E-2</v>
      </c>
      <c r="O213" s="98">
        <v>46020</v>
      </c>
      <c r="P213" s="98">
        <v>46020</v>
      </c>
      <c r="Q213" s="99">
        <v>0</v>
      </c>
    </row>
    <row r="214" spans="1:17">
      <c r="A214" s="7">
        <v>2025</v>
      </c>
      <c r="B214" s="8" t="s">
        <v>434</v>
      </c>
      <c r="C214" s="94" t="s">
        <v>435</v>
      </c>
      <c r="D214" s="95">
        <v>3215062</v>
      </c>
      <c r="E214" s="95">
        <v>2</v>
      </c>
      <c r="F214" s="95"/>
      <c r="G214" s="95">
        <v>82226</v>
      </c>
      <c r="H214" s="95" t="s">
        <v>208</v>
      </c>
      <c r="I214" s="95" t="s">
        <v>437</v>
      </c>
      <c r="J214" s="95" t="s">
        <v>157</v>
      </c>
      <c r="K214" s="95" t="b">
        <v>0</v>
      </c>
      <c r="L214" s="95">
        <v>5</v>
      </c>
      <c r="M214" s="96">
        <v>2030</v>
      </c>
      <c r="N214" s="97">
        <v>2.5700000000000001E-2</v>
      </c>
      <c r="O214" s="98">
        <v>46020</v>
      </c>
      <c r="P214" s="98">
        <v>46020</v>
      </c>
      <c r="Q214" s="99">
        <v>0</v>
      </c>
    </row>
    <row r="215" spans="1:17">
      <c r="A215" s="7">
        <v>2025</v>
      </c>
      <c r="B215" s="8" t="s">
        <v>434</v>
      </c>
      <c r="C215" s="94" t="s">
        <v>435</v>
      </c>
      <c r="D215" s="95">
        <v>3215062</v>
      </c>
      <c r="E215" s="95">
        <v>2</v>
      </c>
      <c r="F215" s="95"/>
      <c r="G215" s="95">
        <v>82226</v>
      </c>
      <c r="H215" s="95" t="s">
        <v>208</v>
      </c>
      <c r="I215" s="95" t="s">
        <v>437</v>
      </c>
      <c r="J215" s="95" t="s">
        <v>157</v>
      </c>
      <c r="K215" s="95" t="b">
        <v>0</v>
      </c>
      <c r="L215" s="95">
        <v>2</v>
      </c>
      <c r="M215" s="96">
        <v>2027</v>
      </c>
      <c r="N215" s="97">
        <v>7.1099999999999997E-2</v>
      </c>
      <c r="O215" s="98">
        <v>46020</v>
      </c>
      <c r="P215" s="98">
        <v>46020</v>
      </c>
      <c r="Q215" s="99">
        <v>0</v>
      </c>
    </row>
    <row r="216" spans="1:17">
      <c r="A216" s="7">
        <v>2025</v>
      </c>
      <c r="B216" s="8" t="s">
        <v>434</v>
      </c>
      <c r="C216" s="94" t="s">
        <v>435</v>
      </c>
      <c r="D216" s="95">
        <v>3215062</v>
      </c>
      <c r="E216" s="95">
        <v>2</v>
      </c>
      <c r="F216" s="95"/>
      <c r="G216" s="95">
        <v>82226</v>
      </c>
      <c r="H216" s="95" t="s">
        <v>208</v>
      </c>
      <c r="I216" s="95" t="s">
        <v>437</v>
      </c>
      <c r="J216" s="95" t="s">
        <v>157</v>
      </c>
      <c r="K216" s="95" t="b">
        <v>0</v>
      </c>
      <c r="L216" s="95">
        <v>1</v>
      </c>
      <c r="M216" s="96">
        <v>2026</v>
      </c>
      <c r="N216" s="97">
        <v>0.18210000000000001</v>
      </c>
      <c r="O216" s="98">
        <v>46020</v>
      </c>
      <c r="P216" s="98">
        <v>46020</v>
      </c>
      <c r="Q216" s="99">
        <v>0</v>
      </c>
    </row>
    <row r="217" spans="1:17">
      <c r="A217" s="7">
        <v>2025</v>
      </c>
      <c r="B217" s="8" t="s">
        <v>434</v>
      </c>
      <c r="C217" s="94" t="s">
        <v>435</v>
      </c>
      <c r="D217" s="95">
        <v>3215062</v>
      </c>
      <c r="E217" s="95">
        <v>2</v>
      </c>
      <c r="F217" s="95"/>
      <c r="G217" s="95">
        <v>21000</v>
      </c>
      <c r="H217" s="95">
        <v>2.1</v>
      </c>
      <c r="I217" s="95"/>
      <c r="J217" s="95" t="s">
        <v>121</v>
      </c>
      <c r="K217" s="95" t="b">
        <v>1</v>
      </c>
      <c r="L217" s="95">
        <v>10</v>
      </c>
      <c r="M217" s="96">
        <v>2035</v>
      </c>
      <c r="N217" s="97">
        <v>70212143.400000006</v>
      </c>
      <c r="O217" s="98">
        <v>46020</v>
      </c>
      <c r="P217" s="98">
        <v>46020</v>
      </c>
      <c r="Q217" s="99">
        <v>0</v>
      </c>
    </row>
    <row r="218" spans="1:17">
      <c r="A218" s="7">
        <v>2025</v>
      </c>
      <c r="B218" s="8" t="s">
        <v>434</v>
      </c>
      <c r="C218" s="94" t="s">
        <v>435</v>
      </c>
      <c r="D218" s="95">
        <v>3215062</v>
      </c>
      <c r="E218" s="95">
        <v>2</v>
      </c>
      <c r="F218" s="95"/>
      <c r="G218" s="95">
        <v>21000</v>
      </c>
      <c r="H218" s="95">
        <v>2.1</v>
      </c>
      <c r="I218" s="95"/>
      <c r="J218" s="95" t="s">
        <v>121</v>
      </c>
      <c r="K218" s="95" t="b">
        <v>1</v>
      </c>
      <c r="L218" s="95">
        <v>12</v>
      </c>
      <c r="M218" s="96">
        <v>2037</v>
      </c>
      <c r="N218" s="97">
        <v>73490385</v>
      </c>
      <c r="O218" s="98">
        <v>46020</v>
      </c>
      <c r="P218" s="98">
        <v>46020</v>
      </c>
      <c r="Q218" s="99">
        <v>0</v>
      </c>
    </row>
    <row r="219" spans="1:17">
      <c r="A219" s="7">
        <v>2025</v>
      </c>
      <c r="B219" s="8" t="s">
        <v>434</v>
      </c>
      <c r="C219" s="94" t="s">
        <v>435</v>
      </c>
      <c r="D219" s="95">
        <v>3215062</v>
      </c>
      <c r="E219" s="95">
        <v>2</v>
      </c>
      <c r="F219" s="95"/>
      <c r="G219" s="95">
        <v>21000</v>
      </c>
      <c r="H219" s="95">
        <v>2.1</v>
      </c>
      <c r="I219" s="95"/>
      <c r="J219" s="95" t="s">
        <v>121</v>
      </c>
      <c r="K219" s="95" t="b">
        <v>1</v>
      </c>
      <c r="L219" s="95">
        <v>0</v>
      </c>
      <c r="M219" s="96">
        <v>2025</v>
      </c>
      <c r="N219" s="97">
        <v>59304513.490000002</v>
      </c>
      <c r="O219" s="98">
        <v>46020</v>
      </c>
      <c r="P219" s="98">
        <v>46020</v>
      </c>
      <c r="Q219" s="99">
        <v>0</v>
      </c>
    </row>
    <row r="220" spans="1:17">
      <c r="A220" s="7">
        <v>2025</v>
      </c>
      <c r="B220" s="8" t="s">
        <v>434</v>
      </c>
      <c r="C220" s="94" t="s">
        <v>435</v>
      </c>
      <c r="D220" s="95">
        <v>3215062</v>
      </c>
      <c r="E220" s="95">
        <v>2</v>
      </c>
      <c r="F220" s="95"/>
      <c r="G220" s="95">
        <v>21000</v>
      </c>
      <c r="H220" s="95">
        <v>2.1</v>
      </c>
      <c r="I220" s="95"/>
      <c r="J220" s="95" t="s">
        <v>121</v>
      </c>
      <c r="K220" s="95" t="b">
        <v>1</v>
      </c>
      <c r="L220" s="95">
        <v>3</v>
      </c>
      <c r="M220" s="96">
        <v>2028</v>
      </c>
      <c r="N220" s="97">
        <v>59219092.399999999</v>
      </c>
      <c r="O220" s="98">
        <v>46020</v>
      </c>
      <c r="P220" s="98">
        <v>46020</v>
      </c>
      <c r="Q220" s="99">
        <v>0</v>
      </c>
    </row>
    <row r="221" spans="1:17">
      <c r="A221" s="7">
        <v>2025</v>
      </c>
      <c r="B221" s="8" t="s">
        <v>434</v>
      </c>
      <c r="C221" s="94" t="s">
        <v>435</v>
      </c>
      <c r="D221" s="95">
        <v>3215062</v>
      </c>
      <c r="E221" s="95">
        <v>2</v>
      </c>
      <c r="F221" s="95"/>
      <c r="G221" s="95">
        <v>21000</v>
      </c>
      <c r="H221" s="95">
        <v>2.1</v>
      </c>
      <c r="I221" s="95"/>
      <c r="J221" s="95" t="s">
        <v>121</v>
      </c>
      <c r="K221" s="95" t="b">
        <v>1</v>
      </c>
      <c r="L221" s="95">
        <v>11</v>
      </c>
      <c r="M221" s="96">
        <v>2036</v>
      </c>
      <c r="N221" s="97">
        <v>71801549</v>
      </c>
      <c r="O221" s="98">
        <v>46020</v>
      </c>
      <c r="P221" s="98">
        <v>46020</v>
      </c>
      <c r="Q221" s="99">
        <v>0</v>
      </c>
    </row>
    <row r="222" spans="1:17">
      <c r="A222" s="7">
        <v>2025</v>
      </c>
      <c r="B222" s="8" t="s">
        <v>434</v>
      </c>
      <c r="C222" s="94" t="s">
        <v>435</v>
      </c>
      <c r="D222" s="95">
        <v>3215062</v>
      </c>
      <c r="E222" s="95">
        <v>2</v>
      </c>
      <c r="F222" s="95"/>
      <c r="G222" s="95">
        <v>21000</v>
      </c>
      <c r="H222" s="95">
        <v>2.1</v>
      </c>
      <c r="I222" s="95"/>
      <c r="J222" s="95" t="s">
        <v>121</v>
      </c>
      <c r="K222" s="95" t="b">
        <v>1</v>
      </c>
      <c r="L222" s="95">
        <v>5</v>
      </c>
      <c r="M222" s="96">
        <v>2030</v>
      </c>
      <c r="N222" s="97">
        <v>62249381.399999999</v>
      </c>
      <c r="O222" s="98">
        <v>46020</v>
      </c>
      <c r="P222" s="98">
        <v>46020</v>
      </c>
      <c r="Q222" s="99">
        <v>0</v>
      </c>
    </row>
    <row r="223" spans="1:17">
      <c r="A223" s="7">
        <v>2025</v>
      </c>
      <c r="B223" s="8" t="s">
        <v>434</v>
      </c>
      <c r="C223" s="94" t="s">
        <v>435</v>
      </c>
      <c r="D223" s="95">
        <v>3215062</v>
      </c>
      <c r="E223" s="95">
        <v>2</v>
      </c>
      <c r="F223" s="95"/>
      <c r="G223" s="95">
        <v>21000</v>
      </c>
      <c r="H223" s="95">
        <v>2.1</v>
      </c>
      <c r="I223" s="95"/>
      <c r="J223" s="95" t="s">
        <v>121</v>
      </c>
      <c r="K223" s="95" t="b">
        <v>1</v>
      </c>
      <c r="L223" s="95">
        <v>8</v>
      </c>
      <c r="M223" s="96">
        <v>2033</v>
      </c>
      <c r="N223" s="97">
        <v>67121911.079999998</v>
      </c>
      <c r="O223" s="98">
        <v>46020</v>
      </c>
      <c r="P223" s="98">
        <v>46020</v>
      </c>
      <c r="Q223" s="99">
        <v>0</v>
      </c>
    </row>
    <row r="224" spans="1:17">
      <c r="A224" s="7">
        <v>2025</v>
      </c>
      <c r="B224" s="8" t="s">
        <v>434</v>
      </c>
      <c r="C224" s="94" t="s">
        <v>435</v>
      </c>
      <c r="D224" s="95">
        <v>3215062</v>
      </c>
      <c r="E224" s="95">
        <v>2</v>
      </c>
      <c r="F224" s="95"/>
      <c r="G224" s="95">
        <v>21000</v>
      </c>
      <c r="H224" s="95">
        <v>2.1</v>
      </c>
      <c r="I224" s="95"/>
      <c r="J224" s="95" t="s">
        <v>121</v>
      </c>
      <c r="K224" s="95" t="b">
        <v>1</v>
      </c>
      <c r="L224" s="95">
        <v>1</v>
      </c>
      <c r="M224" s="96">
        <v>2026</v>
      </c>
      <c r="N224" s="97">
        <v>55080981.399999999</v>
      </c>
      <c r="O224" s="98">
        <v>46020</v>
      </c>
      <c r="P224" s="98">
        <v>46020</v>
      </c>
      <c r="Q224" s="99">
        <v>0</v>
      </c>
    </row>
    <row r="225" spans="1:17">
      <c r="A225" s="7">
        <v>2025</v>
      </c>
      <c r="B225" s="8" t="s">
        <v>434</v>
      </c>
      <c r="C225" s="94" t="s">
        <v>435</v>
      </c>
      <c r="D225" s="95">
        <v>3215062</v>
      </c>
      <c r="E225" s="95">
        <v>2</v>
      </c>
      <c r="F225" s="95"/>
      <c r="G225" s="95">
        <v>21000</v>
      </c>
      <c r="H225" s="95">
        <v>2.1</v>
      </c>
      <c r="I225" s="95"/>
      <c r="J225" s="95" t="s">
        <v>121</v>
      </c>
      <c r="K225" s="95" t="b">
        <v>1</v>
      </c>
      <c r="L225" s="95">
        <v>9</v>
      </c>
      <c r="M225" s="96">
        <v>2034</v>
      </c>
      <c r="N225" s="97">
        <v>68777358.969999999</v>
      </c>
      <c r="O225" s="98">
        <v>46020</v>
      </c>
      <c r="P225" s="98">
        <v>46020</v>
      </c>
      <c r="Q225" s="99">
        <v>0</v>
      </c>
    </row>
    <row r="226" spans="1:17">
      <c r="A226" s="7">
        <v>2025</v>
      </c>
      <c r="B226" s="8" t="s">
        <v>434</v>
      </c>
      <c r="C226" s="94" t="s">
        <v>435</v>
      </c>
      <c r="D226" s="95">
        <v>3215062</v>
      </c>
      <c r="E226" s="95">
        <v>2</v>
      </c>
      <c r="F226" s="95"/>
      <c r="G226" s="95">
        <v>21000</v>
      </c>
      <c r="H226" s="95">
        <v>2.1</v>
      </c>
      <c r="I226" s="95"/>
      <c r="J226" s="95" t="s">
        <v>121</v>
      </c>
      <c r="K226" s="95" t="b">
        <v>1</v>
      </c>
      <c r="L226" s="95">
        <v>13</v>
      </c>
      <c r="M226" s="96">
        <v>2038</v>
      </c>
      <c r="N226" s="97">
        <v>75183991</v>
      </c>
      <c r="O226" s="98">
        <v>46020</v>
      </c>
      <c r="P226" s="98">
        <v>46020</v>
      </c>
      <c r="Q226" s="99">
        <v>0</v>
      </c>
    </row>
    <row r="227" spans="1:17">
      <c r="A227" s="7">
        <v>2025</v>
      </c>
      <c r="B227" s="8" t="s">
        <v>434</v>
      </c>
      <c r="C227" s="94" t="s">
        <v>435</v>
      </c>
      <c r="D227" s="95">
        <v>3215062</v>
      </c>
      <c r="E227" s="95">
        <v>2</v>
      </c>
      <c r="F227" s="95"/>
      <c r="G227" s="95">
        <v>21000</v>
      </c>
      <c r="H227" s="95">
        <v>2.1</v>
      </c>
      <c r="I227" s="95"/>
      <c r="J227" s="95" t="s">
        <v>121</v>
      </c>
      <c r="K227" s="95" t="b">
        <v>1</v>
      </c>
      <c r="L227" s="95">
        <v>6</v>
      </c>
      <c r="M227" s="96">
        <v>2031</v>
      </c>
      <c r="N227" s="97">
        <v>63805980.399999999</v>
      </c>
      <c r="O227" s="98">
        <v>46020</v>
      </c>
      <c r="P227" s="98">
        <v>46020</v>
      </c>
      <c r="Q227" s="99">
        <v>0</v>
      </c>
    </row>
    <row r="228" spans="1:17">
      <c r="A228" s="7">
        <v>2025</v>
      </c>
      <c r="B228" s="8" t="s">
        <v>434</v>
      </c>
      <c r="C228" s="94" t="s">
        <v>435</v>
      </c>
      <c r="D228" s="95">
        <v>3215062</v>
      </c>
      <c r="E228" s="95">
        <v>2</v>
      </c>
      <c r="F228" s="95"/>
      <c r="G228" s="95">
        <v>21000</v>
      </c>
      <c r="H228" s="95">
        <v>2.1</v>
      </c>
      <c r="I228" s="95"/>
      <c r="J228" s="95" t="s">
        <v>121</v>
      </c>
      <c r="K228" s="95" t="b">
        <v>1</v>
      </c>
      <c r="L228" s="95">
        <v>2</v>
      </c>
      <c r="M228" s="96">
        <v>2027</v>
      </c>
      <c r="N228" s="97">
        <v>57322726.060000002</v>
      </c>
      <c r="O228" s="98">
        <v>46020</v>
      </c>
      <c r="P228" s="98">
        <v>46020</v>
      </c>
      <c r="Q228" s="99">
        <v>0</v>
      </c>
    </row>
    <row r="229" spans="1:17">
      <c r="A229" s="7">
        <v>2025</v>
      </c>
      <c r="B229" s="8" t="s">
        <v>434</v>
      </c>
      <c r="C229" s="94" t="s">
        <v>435</v>
      </c>
      <c r="D229" s="95">
        <v>3215062</v>
      </c>
      <c r="E229" s="95">
        <v>2</v>
      </c>
      <c r="F229" s="95"/>
      <c r="G229" s="95">
        <v>21000</v>
      </c>
      <c r="H229" s="95">
        <v>2.1</v>
      </c>
      <c r="I229" s="95"/>
      <c r="J229" s="95" t="s">
        <v>121</v>
      </c>
      <c r="K229" s="95" t="b">
        <v>1</v>
      </c>
      <c r="L229" s="95">
        <v>7</v>
      </c>
      <c r="M229" s="96">
        <v>2032</v>
      </c>
      <c r="N229" s="97">
        <v>65365591.399999999</v>
      </c>
      <c r="O229" s="98">
        <v>46020</v>
      </c>
      <c r="P229" s="98">
        <v>46020</v>
      </c>
      <c r="Q229" s="99">
        <v>0</v>
      </c>
    </row>
    <row r="230" spans="1:17">
      <c r="A230" s="7">
        <v>2025</v>
      </c>
      <c r="B230" s="8" t="s">
        <v>434</v>
      </c>
      <c r="C230" s="94" t="s">
        <v>435</v>
      </c>
      <c r="D230" s="95">
        <v>3215062</v>
      </c>
      <c r="E230" s="95">
        <v>2</v>
      </c>
      <c r="F230" s="95"/>
      <c r="G230" s="95">
        <v>21000</v>
      </c>
      <c r="H230" s="95">
        <v>2.1</v>
      </c>
      <c r="I230" s="95"/>
      <c r="J230" s="95" t="s">
        <v>121</v>
      </c>
      <c r="K230" s="95" t="b">
        <v>1</v>
      </c>
      <c r="L230" s="95">
        <v>4</v>
      </c>
      <c r="M230" s="96">
        <v>2029</v>
      </c>
      <c r="N230" s="97">
        <v>60718852.399999999</v>
      </c>
      <c r="O230" s="98">
        <v>46020</v>
      </c>
      <c r="P230" s="98">
        <v>46020</v>
      </c>
      <c r="Q230" s="99">
        <v>0</v>
      </c>
    </row>
    <row r="231" spans="1:17">
      <c r="A231" s="7">
        <v>2025</v>
      </c>
      <c r="B231" s="8" t="s">
        <v>434</v>
      </c>
      <c r="C231" s="94" t="s">
        <v>435</v>
      </c>
      <c r="D231" s="95">
        <v>3215062</v>
      </c>
      <c r="E231" s="95">
        <v>2</v>
      </c>
      <c r="F231" s="95"/>
      <c r="G231" s="95">
        <v>123000</v>
      </c>
      <c r="H231" s="95">
        <v>12.3</v>
      </c>
      <c r="I231" s="95" t="s">
        <v>438</v>
      </c>
      <c r="J231" s="95" t="s">
        <v>439</v>
      </c>
      <c r="K231" s="95" t="b">
        <v>1</v>
      </c>
      <c r="L231" s="95">
        <v>5</v>
      </c>
      <c r="M231" s="96">
        <v>2030</v>
      </c>
      <c r="N231" s="97">
        <v>0</v>
      </c>
      <c r="O231" s="98">
        <v>46020</v>
      </c>
      <c r="P231" s="98">
        <v>46020</v>
      </c>
      <c r="Q231" s="99">
        <v>0</v>
      </c>
    </row>
    <row r="232" spans="1:17">
      <c r="A232" s="7">
        <v>2025</v>
      </c>
      <c r="B232" s="8" t="s">
        <v>434</v>
      </c>
      <c r="C232" s="94" t="s">
        <v>435</v>
      </c>
      <c r="D232" s="95">
        <v>3215062</v>
      </c>
      <c r="E232" s="95">
        <v>2</v>
      </c>
      <c r="F232" s="95"/>
      <c r="G232" s="95">
        <v>123000</v>
      </c>
      <c r="H232" s="95">
        <v>12.3</v>
      </c>
      <c r="I232" s="95" t="s">
        <v>438</v>
      </c>
      <c r="J232" s="95" t="s">
        <v>439</v>
      </c>
      <c r="K232" s="95" t="b">
        <v>1</v>
      </c>
      <c r="L232" s="95">
        <v>10</v>
      </c>
      <c r="M232" s="96">
        <v>2035</v>
      </c>
      <c r="N232" s="97">
        <v>0</v>
      </c>
      <c r="O232" s="98">
        <v>46020</v>
      </c>
      <c r="P232" s="98">
        <v>46020</v>
      </c>
      <c r="Q232" s="99">
        <v>0</v>
      </c>
    </row>
    <row r="233" spans="1:17">
      <c r="A233" s="7">
        <v>2025</v>
      </c>
      <c r="B233" s="8" t="s">
        <v>434</v>
      </c>
      <c r="C233" s="94" t="s">
        <v>435</v>
      </c>
      <c r="D233" s="95">
        <v>3215062</v>
      </c>
      <c r="E233" s="95">
        <v>2</v>
      </c>
      <c r="F233" s="95"/>
      <c r="G233" s="95">
        <v>123000</v>
      </c>
      <c r="H233" s="95">
        <v>12.3</v>
      </c>
      <c r="I233" s="95" t="s">
        <v>438</v>
      </c>
      <c r="J233" s="95" t="s">
        <v>439</v>
      </c>
      <c r="K233" s="95" t="b">
        <v>1</v>
      </c>
      <c r="L233" s="95">
        <v>1</v>
      </c>
      <c r="M233" s="96">
        <v>2026</v>
      </c>
      <c r="N233" s="97">
        <v>0</v>
      </c>
      <c r="O233" s="98">
        <v>46020</v>
      </c>
      <c r="P233" s="98">
        <v>46020</v>
      </c>
      <c r="Q233" s="99">
        <v>0</v>
      </c>
    </row>
    <row r="234" spans="1:17">
      <c r="A234" s="7">
        <v>2025</v>
      </c>
      <c r="B234" s="8" t="s">
        <v>434</v>
      </c>
      <c r="C234" s="94" t="s">
        <v>435</v>
      </c>
      <c r="D234" s="95">
        <v>3215062</v>
      </c>
      <c r="E234" s="95">
        <v>2</v>
      </c>
      <c r="F234" s="95"/>
      <c r="G234" s="95">
        <v>123000</v>
      </c>
      <c r="H234" s="95">
        <v>12.3</v>
      </c>
      <c r="I234" s="95" t="s">
        <v>438</v>
      </c>
      <c r="J234" s="95" t="s">
        <v>439</v>
      </c>
      <c r="K234" s="95" t="b">
        <v>1</v>
      </c>
      <c r="L234" s="95">
        <v>6</v>
      </c>
      <c r="M234" s="96">
        <v>2031</v>
      </c>
      <c r="N234" s="97">
        <v>0</v>
      </c>
      <c r="O234" s="98">
        <v>46020</v>
      </c>
      <c r="P234" s="98">
        <v>46020</v>
      </c>
      <c r="Q234" s="99">
        <v>0</v>
      </c>
    </row>
    <row r="235" spans="1:17">
      <c r="A235" s="7">
        <v>2025</v>
      </c>
      <c r="B235" s="8" t="s">
        <v>434</v>
      </c>
      <c r="C235" s="94" t="s">
        <v>435</v>
      </c>
      <c r="D235" s="95">
        <v>3215062</v>
      </c>
      <c r="E235" s="95">
        <v>2</v>
      </c>
      <c r="F235" s="95"/>
      <c r="G235" s="95">
        <v>123000</v>
      </c>
      <c r="H235" s="95">
        <v>12.3</v>
      </c>
      <c r="I235" s="95" t="s">
        <v>438</v>
      </c>
      <c r="J235" s="95" t="s">
        <v>439</v>
      </c>
      <c r="K235" s="95" t="b">
        <v>1</v>
      </c>
      <c r="L235" s="95">
        <v>13</v>
      </c>
      <c r="M235" s="96">
        <v>2038</v>
      </c>
      <c r="N235" s="97">
        <v>0</v>
      </c>
      <c r="O235" s="98">
        <v>46020</v>
      </c>
      <c r="P235" s="98">
        <v>46020</v>
      </c>
      <c r="Q235" s="99">
        <v>0</v>
      </c>
    </row>
    <row r="236" spans="1:17">
      <c r="A236" s="7">
        <v>2025</v>
      </c>
      <c r="B236" s="8" t="s">
        <v>434</v>
      </c>
      <c r="C236" s="94" t="s">
        <v>435</v>
      </c>
      <c r="D236" s="95">
        <v>3215062</v>
      </c>
      <c r="E236" s="95">
        <v>2</v>
      </c>
      <c r="F236" s="95"/>
      <c r="G236" s="95">
        <v>123000</v>
      </c>
      <c r="H236" s="95">
        <v>12.3</v>
      </c>
      <c r="I236" s="95" t="s">
        <v>438</v>
      </c>
      <c r="J236" s="95" t="s">
        <v>439</v>
      </c>
      <c r="K236" s="95" t="b">
        <v>1</v>
      </c>
      <c r="L236" s="95">
        <v>3</v>
      </c>
      <c r="M236" s="96">
        <v>2028</v>
      </c>
      <c r="N236" s="97">
        <v>0</v>
      </c>
      <c r="O236" s="98">
        <v>46020</v>
      </c>
      <c r="P236" s="98">
        <v>46020</v>
      </c>
      <c r="Q236" s="99">
        <v>0</v>
      </c>
    </row>
    <row r="237" spans="1:17">
      <c r="A237" s="7">
        <v>2025</v>
      </c>
      <c r="B237" s="8" t="s">
        <v>434</v>
      </c>
      <c r="C237" s="94" t="s">
        <v>435</v>
      </c>
      <c r="D237" s="95">
        <v>3215062</v>
      </c>
      <c r="E237" s="95">
        <v>2</v>
      </c>
      <c r="F237" s="95"/>
      <c r="G237" s="95">
        <v>123000</v>
      </c>
      <c r="H237" s="95">
        <v>12.3</v>
      </c>
      <c r="I237" s="95" t="s">
        <v>438</v>
      </c>
      <c r="J237" s="95" t="s">
        <v>439</v>
      </c>
      <c r="K237" s="95" t="b">
        <v>1</v>
      </c>
      <c r="L237" s="95">
        <v>7</v>
      </c>
      <c r="M237" s="96">
        <v>2032</v>
      </c>
      <c r="N237" s="97">
        <v>0</v>
      </c>
      <c r="O237" s="98">
        <v>46020</v>
      </c>
      <c r="P237" s="98">
        <v>46020</v>
      </c>
      <c r="Q237" s="99">
        <v>0</v>
      </c>
    </row>
    <row r="238" spans="1:17">
      <c r="A238" s="7">
        <v>2025</v>
      </c>
      <c r="B238" s="8" t="s">
        <v>434</v>
      </c>
      <c r="C238" s="94" t="s">
        <v>435</v>
      </c>
      <c r="D238" s="95">
        <v>3215062</v>
      </c>
      <c r="E238" s="95">
        <v>2</v>
      </c>
      <c r="F238" s="95"/>
      <c r="G238" s="95">
        <v>123000</v>
      </c>
      <c r="H238" s="95">
        <v>12.3</v>
      </c>
      <c r="I238" s="95" t="s">
        <v>438</v>
      </c>
      <c r="J238" s="95" t="s">
        <v>439</v>
      </c>
      <c r="K238" s="95" t="b">
        <v>1</v>
      </c>
      <c r="L238" s="95">
        <v>8</v>
      </c>
      <c r="M238" s="96">
        <v>2033</v>
      </c>
      <c r="N238" s="97">
        <v>0</v>
      </c>
      <c r="O238" s="98">
        <v>46020</v>
      </c>
      <c r="P238" s="98">
        <v>46020</v>
      </c>
      <c r="Q238" s="99">
        <v>0</v>
      </c>
    </row>
    <row r="239" spans="1:17">
      <c r="A239" s="7">
        <v>2025</v>
      </c>
      <c r="B239" s="8" t="s">
        <v>434</v>
      </c>
      <c r="C239" s="94" t="s">
        <v>435</v>
      </c>
      <c r="D239" s="95">
        <v>3215062</v>
      </c>
      <c r="E239" s="95">
        <v>2</v>
      </c>
      <c r="F239" s="95"/>
      <c r="G239" s="95">
        <v>123000</v>
      </c>
      <c r="H239" s="95">
        <v>12.3</v>
      </c>
      <c r="I239" s="95" t="s">
        <v>438</v>
      </c>
      <c r="J239" s="95" t="s">
        <v>439</v>
      </c>
      <c r="K239" s="95" t="b">
        <v>1</v>
      </c>
      <c r="L239" s="95">
        <v>9</v>
      </c>
      <c r="M239" s="96">
        <v>2034</v>
      </c>
      <c r="N239" s="97">
        <v>0</v>
      </c>
      <c r="O239" s="98">
        <v>46020</v>
      </c>
      <c r="P239" s="98">
        <v>46020</v>
      </c>
      <c r="Q239" s="99">
        <v>0</v>
      </c>
    </row>
    <row r="240" spans="1:17">
      <c r="A240" s="7">
        <v>2025</v>
      </c>
      <c r="B240" s="8" t="s">
        <v>434</v>
      </c>
      <c r="C240" s="94" t="s">
        <v>435</v>
      </c>
      <c r="D240" s="95">
        <v>3215062</v>
      </c>
      <c r="E240" s="95">
        <v>2</v>
      </c>
      <c r="F240" s="95"/>
      <c r="G240" s="95">
        <v>123000</v>
      </c>
      <c r="H240" s="95">
        <v>12.3</v>
      </c>
      <c r="I240" s="95" t="s">
        <v>438</v>
      </c>
      <c r="J240" s="95" t="s">
        <v>439</v>
      </c>
      <c r="K240" s="95" t="b">
        <v>1</v>
      </c>
      <c r="L240" s="95">
        <v>2</v>
      </c>
      <c r="M240" s="96">
        <v>2027</v>
      </c>
      <c r="N240" s="97">
        <v>0</v>
      </c>
      <c r="O240" s="98">
        <v>46020</v>
      </c>
      <c r="P240" s="98">
        <v>46020</v>
      </c>
      <c r="Q240" s="99">
        <v>0</v>
      </c>
    </row>
    <row r="241" spans="1:17">
      <c r="A241" s="7">
        <v>2025</v>
      </c>
      <c r="B241" s="8" t="s">
        <v>434</v>
      </c>
      <c r="C241" s="94" t="s">
        <v>435</v>
      </c>
      <c r="D241" s="95">
        <v>3215062</v>
      </c>
      <c r="E241" s="95">
        <v>2</v>
      </c>
      <c r="F241" s="95"/>
      <c r="G241" s="95">
        <v>123000</v>
      </c>
      <c r="H241" s="95">
        <v>12.3</v>
      </c>
      <c r="I241" s="95" t="s">
        <v>438</v>
      </c>
      <c r="J241" s="95" t="s">
        <v>439</v>
      </c>
      <c r="K241" s="95" t="b">
        <v>1</v>
      </c>
      <c r="L241" s="95">
        <v>12</v>
      </c>
      <c r="M241" s="96">
        <v>2037</v>
      </c>
      <c r="N241" s="97">
        <v>0</v>
      </c>
      <c r="O241" s="98">
        <v>46020</v>
      </c>
      <c r="P241" s="98">
        <v>46020</v>
      </c>
      <c r="Q241" s="99">
        <v>0</v>
      </c>
    </row>
    <row r="242" spans="1:17">
      <c r="A242" s="7">
        <v>2025</v>
      </c>
      <c r="B242" s="8" t="s">
        <v>434</v>
      </c>
      <c r="C242" s="94" t="s">
        <v>435</v>
      </c>
      <c r="D242" s="95">
        <v>3215062</v>
      </c>
      <c r="E242" s="95">
        <v>2</v>
      </c>
      <c r="F242" s="95"/>
      <c r="G242" s="95">
        <v>123000</v>
      </c>
      <c r="H242" s="95">
        <v>12.3</v>
      </c>
      <c r="I242" s="95" t="s">
        <v>438</v>
      </c>
      <c r="J242" s="95" t="s">
        <v>439</v>
      </c>
      <c r="K242" s="95" t="b">
        <v>1</v>
      </c>
      <c r="L242" s="95">
        <v>0</v>
      </c>
      <c r="M242" s="96">
        <v>2025</v>
      </c>
      <c r="N242" s="97">
        <v>0</v>
      </c>
      <c r="O242" s="98">
        <v>46020</v>
      </c>
      <c r="P242" s="98">
        <v>46020</v>
      </c>
      <c r="Q242" s="99">
        <v>0</v>
      </c>
    </row>
    <row r="243" spans="1:17">
      <c r="A243" s="7">
        <v>2025</v>
      </c>
      <c r="B243" s="8" t="s">
        <v>434</v>
      </c>
      <c r="C243" s="94" t="s">
        <v>435</v>
      </c>
      <c r="D243" s="95">
        <v>3215062</v>
      </c>
      <c r="E243" s="95">
        <v>2</v>
      </c>
      <c r="F243" s="95"/>
      <c r="G243" s="95">
        <v>123000</v>
      </c>
      <c r="H243" s="95">
        <v>12.3</v>
      </c>
      <c r="I243" s="95" t="s">
        <v>438</v>
      </c>
      <c r="J243" s="95" t="s">
        <v>439</v>
      </c>
      <c r="K243" s="95" t="b">
        <v>1</v>
      </c>
      <c r="L243" s="95">
        <v>4</v>
      </c>
      <c r="M243" s="96">
        <v>2029</v>
      </c>
      <c r="N243" s="97">
        <v>0</v>
      </c>
      <c r="O243" s="98">
        <v>46020</v>
      </c>
      <c r="P243" s="98">
        <v>46020</v>
      </c>
      <c r="Q243" s="99">
        <v>0</v>
      </c>
    </row>
    <row r="244" spans="1:17">
      <c r="A244" s="7">
        <v>2025</v>
      </c>
      <c r="B244" s="8" t="s">
        <v>434</v>
      </c>
      <c r="C244" s="94" t="s">
        <v>435</v>
      </c>
      <c r="D244" s="95">
        <v>3215062</v>
      </c>
      <c r="E244" s="95">
        <v>2</v>
      </c>
      <c r="F244" s="95"/>
      <c r="G244" s="95">
        <v>123000</v>
      </c>
      <c r="H244" s="95">
        <v>12.3</v>
      </c>
      <c r="I244" s="95" t="s">
        <v>438</v>
      </c>
      <c r="J244" s="95" t="s">
        <v>439</v>
      </c>
      <c r="K244" s="95" t="b">
        <v>1</v>
      </c>
      <c r="L244" s="95">
        <v>11</v>
      </c>
      <c r="M244" s="96">
        <v>2036</v>
      </c>
      <c r="N244" s="97">
        <v>0</v>
      </c>
      <c r="O244" s="98">
        <v>46020</v>
      </c>
      <c r="P244" s="98">
        <v>46020</v>
      </c>
      <c r="Q244" s="99">
        <v>0</v>
      </c>
    </row>
    <row r="245" spans="1:17">
      <c r="A245" s="7">
        <v>2025</v>
      </c>
      <c r="B245" s="8" t="s">
        <v>434</v>
      </c>
      <c r="C245" s="94" t="s">
        <v>435</v>
      </c>
      <c r="D245" s="95">
        <v>3215062</v>
      </c>
      <c r="E245" s="95">
        <v>2</v>
      </c>
      <c r="F245" s="95"/>
      <c r="G245" s="95">
        <v>104000</v>
      </c>
      <c r="H245" s="95">
        <v>10.4</v>
      </c>
      <c r="I245" s="95"/>
      <c r="J245" s="95" t="s">
        <v>178</v>
      </c>
      <c r="K245" s="95" t="b">
        <v>1</v>
      </c>
      <c r="L245" s="95">
        <v>8</v>
      </c>
      <c r="M245" s="96">
        <v>2033</v>
      </c>
      <c r="N245" s="97">
        <v>2872</v>
      </c>
      <c r="O245" s="98">
        <v>46020</v>
      </c>
      <c r="P245" s="98">
        <v>46020</v>
      </c>
      <c r="Q245" s="99">
        <v>0</v>
      </c>
    </row>
    <row r="246" spans="1:17">
      <c r="A246" s="7">
        <v>2025</v>
      </c>
      <c r="B246" s="8" t="s">
        <v>434</v>
      </c>
      <c r="C246" s="94" t="s">
        <v>435</v>
      </c>
      <c r="D246" s="95">
        <v>3215062</v>
      </c>
      <c r="E246" s="95">
        <v>2</v>
      </c>
      <c r="F246" s="95"/>
      <c r="G246" s="95">
        <v>104000</v>
      </c>
      <c r="H246" s="95">
        <v>10.4</v>
      </c>
      <c r="I246" s="95"/>
      <c r="J246" s="95" t="s">
        <v>178</v>
      </c>
      <c r="K246" s="95" t="b">
        <v>1</v>
      </c>
      <c r="L246" s="95">
        <v>2</v>
      </c>
      <c r="M246" s="96">
        <v>2027</v>
      </c>
      <c r="N246" s="97">
        <v>17830</v>
      </c>
      <c r="O246" s="98">
        <v>46020</v>
      </c>
      <c r="P246" s="98">
        <v>46020</v>
      </c>
      <c r="Q246" s="99">
        <v>0</v>
      </c>
    </row>
    <row r="247" spans="1:17">
      <c r="A247" s="7">
        <v>2025</v>
      </c>
      <c r="B247" s="8" t="s">
        <v>434</v>
      </c>
      <c r="C247" s="94" t="s">
        <v>435</v>
      </c>
      <c r="D247" s="95">
        <v>3215062</v>
      </c>
      <c r="E247" s="95">
        <v>2</v>
      </c>
      <c r="F247" s="95"/>
      <c r="G247" s="95">
        <v>104000</v>
      </c>
      <c r="H247" s="95">
        <v>10.4</v>
      </c>
      <c r="I247" s="95"/>
      <c r="J247" s="95" t="s">
        <v>178</v>
      </c>
      <c r="K247" s="95" t="b">
        <v>1</v>
      </c>
      <c r="L247" s="95">
        <v>6</v>
      </c>
      <c r="M247" s="96">
        <v>2031</v>
      </c>
      <c r="N247" s="97">
        <v>3327</v>
      </c>
      <c r="O247" s="98">
        <v>46020</v>
      </c>
      <c r="P247" s="98">
        <v>46020</v>
      </c>
      <c r="Q247" s="99">
        <v>0</v>
      </c>
    </row>
    <row r="248" spans="1:17">
      <c r="A248" s="7">
        <v>2025</v>
      </c>
      <c r="B248" s="8" t="s">
        <v>434</v>
      </c>
      <c r="C248" s="94" t="s">
        <v>435</v>
      </c>
      <c r="D248" s="95">
        <v>3215062</v>
      </c>
      <c r="E248" s="95">
        <v>2</v>
      </c>
      <c r="F248" s="95"/>
      <c r="G248" s="95">
        <v>104000</v>
      </c>
      <c r="H248" s="95">
        <v>10.4</v>
      </c>
      <c r="I248" s="95"/>
      <c r="J248" s="95" t="s">
        <v>178</v>
      </c>
      <c r="K248" s="95" t="b">
        <v>1</v>
      </c>
      <c r="L248" s="95">
        <v>1</v>
      </c>
      <c r="M248" s="96">
        <v>2026</v>
      </c>
      <c r="N248" s="97">
        <v>18946</v>
      </c>
      <c r="O248" s="98">
        <v>46020</v>
      </c>
      <c r="P248" s="98">
        <v>46020</v>
      </c>
      <c r="Q248" s="99">
        <v>0</v>
      </c>
    </row>
    <row r="249" spans="1:17">
      <c r="A249" s="7">
        <v>2025</v>
      </c>
      <c r="B249" s="8" t="s">
        <v>434</v>
      </c>
      <c r="C249" s="94" t="s">
        <v>435</v>
      </c>
      <c r="D249" s="95">
        <v>3215062</v>
      </c>
      <c r="E249" s="95">
        <v>2</v>
      </c>
      <c r="F249" s="95"/>
      <c r="G249" s="95">
        <v>104000</v>
      </c>
      <c r="H249" s="95">
        <v>10.4</v>
      </c>
      <c r="I249" s="95"/>
      <c r="J249" s="95" t="s">
        <v>178</v>
      </c>
      <c r="K249" s="95" t="b">
        <v>1</v>
      </c>
      <c r="L249" s="95">
        <v>11</v>
      </c>
      <c r="M249" s="96">
        <v>2036</v>
      </c>
      <c r="N249" s="97">
        <v>0</v>
      </c>
      <c r="O249" s="98">
        <v>46020</v>
      </c>
      <c r="P249" s="98">
        <v>46020</v>
      </c>
      <c r="Q249" s="99">
        <v>0</v>
      </c>
    </row>
    <row r="250" spans="1:17">
      <c r="A250" s="7">
        <v>2025</v>
      </c>
      <c r="B250" s="8" t="s">
        <v>434</v>
      </c>
      <c r="C250" s="94" t="s">
        <v>435</v>
      </c>
      <c r="D250" s="95">
        <v>3215062</v>
      </c>
      <c r="E250" s="95">
        <v>2</v>
      </c>
      <c r="F250" s="95"/>
      <c r="G250" s="95">
        <v>104000</v>
      </c>
      <c r="H250" s="95">
        <v>10.4</v>
      </c>
      <c r="I250" s="95"/>
      <c r="J250" s="95" t="s">
        <v>178</v>
      </c>
      <c r="K250" s="95" t="b">
        <v>1</v>
      </c>
      <c r="L250" s="95">
        <v>10</v>
      </c>
      <c r="M250" s="96">
        <v>2035</v>
      </c>
      <c r="N250" s="97">
        <v>0</v>
      </c>
      <c r="O250" s="98">
        <v>46020</v>
      </c>
      <c r="P250" s="98">
        <v>46020</v>
      </c>
      <c r="Q250" s="99">
        <v>0</v>
      </c>
    </row>
    <row r="251" spans="1:17">
      <c r="A251" s="7">
        <v>2025</v>
      </c>
      <c r="B251" s="8" t="s">
        <v>434</v>
      </c>
      <c r="C251" s="94" t="s">
        <v>435</v>
      </c>
      <c r="D251" s="95">
        <v>3215062</v>
      </c>
      <c r="E251" s="95">
        <v>2</v>
      </c>
      <c r="F251" s="95"/>
      <c r="G251" s="95">
        <v>104000</v>
      </c>
      <c r="H251" s="95">
        <v>10.4</v>
      </c>
      <c r="I251" s="95"/>
      <c r="J251" s="95" t="s">
        <v>178</v>
      </c>
      <c r="K251" s="95" t="b">
        <v>1</v>
      </c>
      <c r="L251" s="95">
        <v>0</v>
      </c>
      <c r="M251" s="96">
        <v>2025</v>
      </c>
      <c r="N251" s="97">
        <v>20060</v>
      </c>
      <c r="O251" s="98">
        <v>46020</v>
      </c>
      <c r="P251" s="98">
        <v>46020</v>
      </c>
      <c r="Q251" s="99">
        <v>0</v>
      </c>
    </row>
    <row r="252" spans="1:17">
      <c r="A252" s="7">
        <v>2025</v>
      </c>
      <c r="B252" s="8" t="s">
        <v>434</v>
      </c>
      <c r="C252" s="94" t="s">
        <v>435</v>
      </c>
      <c r="D252" s="95">
        <v>3215062</v>
      </c>
      <c r="E252" s="95">
        <v>2</v>
      </c>
      <c r="F252" s="95"/>
      <c r="G252" s="95">
        <v>104000</v>
      </c>
      <c r="H252" s="95">
        <v>10.4</v>
      </c>
      <c r="I252" s="95"/>
      <c r="J252" s="95" t="s">
        <v>178</v>
      </c>
      <c r="K252" s="95" t="b">
        <v>1</v>
      </c>
      <c r="L252" s="95">
        <v>3</v>
      </c>
      <c r="M252" s="96">
        <v>2028</v>
      </c>
      <c r="N252" s="97">
        <v>14508</v>
      </c>
      <c r="O252" s="98">
        <v>46020</v>
      </c>
      <c r="P252" s="98">
        <v>46020</v>
      </c>
      <c r="Q252" s="99">
        <v>0</v>
      </c>
    </row>
    <row r="253" spans="1:17">
      <c r="A253" s="7">
        <v>2025</v>
      </c>
      <c r="B253" s="8" t="s">
        <v>434</v>
      </c>
      <c r="C253" s="94" t="s">
        <v>435</v>
      </c>
      <c r="D253" s="95">
        <v>3215062</v>
      </c>
      <c r="E253" s="95">
        <v>2</v>
      </c>
      <c r="F253" s="95"/>
      <c r="G253" s="95">
        <v>104000</v>
      </c>
      <c r="H253" s="95">
        <v>10.4</v>
      </c>
      <c r="I253" s="95"/>
      <c r="J253" s="95" t="s">
        <v>178</v>
      </c>
      <c r="K253" s="95" t="b">
        <v>1</v>
      </c>
      <c r="L253" s="95">
        <v>5</v>
      </c>
      <c r="M253" s="96">
        <v>2030</v>
      </c>
      <c r="N253" s="97">
        <v>3555</v>
      </c>
      <c r="O253" s="98">
        <v>46020</v>
      </c>
      <c r="P253" s="98">
        <v>46020</v>
      </c>
      <c r="Q253" s="99">
        <v>0</v>
      </c>
    </row>
    <row r="254" spans="1:17">
      <c r="A254" s="7">
        <v>2025</v>
      </c>
      <c r="B254" s="8" t="s">
        <v>434</v>
      </c>
      <c r="C254" s="94" t="s">
        <v>435</v>
      </c>
      <c r="D254" s="95">
        <v>3215062</v>
      </c>
      <c r="E254" s="95">
        <v>2</v>
      </c>
      <c r="F254" s="95"/>
      <c r="G254" s="95">
        <v>104000</v>
      </c>
      <c r="H254" s="95">
        <v>10.4</v>
      </c>
      <c r="I254" s="95"/>
      <c r="J254" s="95" t="s">
        <v>178</v>
      </c>
      <c r="K254" s="95" t="b">
        <v>1</v>
      </c>
      <c r="L254" s="95">
        <v>4</v>
      </c>
      <c r="M254" s="96">
        <v>2029</v>
      </c>
      <c r="N254" s="97">
        <v>3782</v>
      </c>
      <c r="O254" s="98">
        <v>46020</v>
      </c>
      <c r="P254" s="98">
        <v>46020</v>
      </c>
      <c r="Q254" s="99">
        <v>0</v>
      </c>
    </row>
    <row r="255" spans="1:17">
      <c r="A255" s="7">
        <v>2025</v>
      </c>
      <c r="B255" s="8" t="s">
        <v>434</v>
      </c>
      <c r="C255" s="94" t="s">
        <v>435</v>
      </c>
      <c r="D255" s="95">
        <v>3215062</v>
      </c>
      <c r="E255" s="95">
        <v>2</v>
      </c>
      <c r="F255" s="95"/>
      <c r="G255" s="95">
        <v>104000</v>
      </c>
      <c r="H255" s="95">
        <v>10.4</v>
      </c>
      <c r="I255" s="95"/>
      <c r="J255" s="95" t="s">
        <v>178</v>
      </c>
      <c r="K255" s="95" t="b">
        <v>1</v>
      </c>
      <c r="L255" s="95">
        <v>12</v>
      </c>
      <c r="M255" s="96">
        <v>2037</v>
      </c>
      <c r="N255" s="97">
        <v>0</v>
      </c>
      <c r="O255" s="98">
        <v>46020</v>
      </c>
      <c r="P255" s="98">
        <v>46020</v>
      </c>
      <c r="Q255" s="99">
        <v>0</v>
      </c>
    </row>
    <row r="256" spans="1:17">
      <c r="A256" s="7">
        <v>2025</v>
      </c>
      <c r="B256" s="8" t="s">
        <v>434</v>
      </c>
      <c r="C256" s="94" t="s">
        <v>435</v>
      </c>
      <c r="D256" s="95">
        <v>3215062</v>
      </c>
      <c r="E256" s="95">
        <v>2</v>
      </c>
      <c r="F256" s="95"/>
      <c r="G256" s="95">
        <v>104000</v>
      </c>
      <c r="H256" s="95">
        <v>10.4</v>
      </c>
      <c r="I256" s="95"/>
      <c r="J256" s="95" t="s">
        <v>178</v>
      </c>
      <c r="K256" s="95" t="b">
        <v>1</v>
      </c>
      <c r="L256" s="95">
        <v>9</v>
      </c>
      <c r="M256" s="96">
        <v>2034</v>
      </c>
      <c r="N256" s="97">
        <v>0</v>
      </c>
      <c r="O256" s="98">
        <v>46020</v>
      </c>
      <c r="P256" s="98">
        <v>46020</v>
      </c>
      <c r="Q256" s="99">
        <v>0</v>
      </c>
    </row>
    <row r="257" spans="1:17">
      <c r="A257" s="7">
        <v>2025</v>
      </c>
      <c r="B257" s="8" t="s">
        <v>434</v>
      </c>
      <c r="C257" s="94" t="s">
        <v>435</v>
      </c>
      <c r="D257" s="95">
        <v>3215062</v>
      </c>
      <c r="E257" s="95">
        <v>2</v>
      </c>
      <c r="F257" s="95"/>
      <c r="G257" s="95">
        <v>104000</v>
      </c>
      <c r="H257" s="95">
        <v>10.4</v>
      </c>
      <c r="I257" s="95"/>
      <c r="J257" s="95" t="s">
        <v>178</v>
      </c>
      <c r="K257" s="95" t="b">
        <v>1</v>
      </c>
      <c r="L257" s="95">
        <v>13</v>
      </c>
      <c r="M257" s="96">
        <v>2038</v>
      </c>
      <c r="N257" s="97">
        <v>0</v>
      </c>
      <c r="O257" s="98">
        <v>46020</v>
      </c>
      <c r="P257" s="98">
        <v>46020</v>
      </c>
      <c r="Q257" s="99">
        <v>0</v>
      </c>
    </row>
    <row r="258" spans="1:17">
      <c r="A258" s="7">
        <v>2025</v>
      </c>
      <c r="B258" s="8" t="s">
        <v>434</v>
      </c>
      <c r="C258" s="94" t="s">
        <v>435</v>
      </c>
      <c r="D258" s="95">
        <v>3215062</v>
      </c>
      <c r="E258" s="95">
        <v>2</v>
      </c>
      <c r="F258" s="95"/>
      <c r="G258" s="95">
        <v>104000</v>
      </c>
      <c r="H258" s="95">
        <v>10.4</v>
      </c>
      <c r="I258" s="95"/>
      <c r="J258" s="95" t="s">
        <v>178</v>
      </c>
      <c r="K258" s="95" t="b">
        <v>1</v>
      </c>
      <c r="L258" s="95">
        <v>7</v>
      </c>
      <c r="M258" s="96">
        <v>2032</v>
      </c>
      <c r="N258" s="97">
        <v>3100</v>
      </c>
      <c r="O258" s="98">
        <v>46020</v>
      </c>
      <c r="P258" s="98">
        <v>46020</v>
      </c>
      <c r="Q258" s="99">
        <v>0</v>
      </c>
    </row>
    <row r="259" spans="1:17">
      <c r="A259" s="7">
        <v>2025</v>
      </c>
      <c r="B259" s="8" t="s">
        <v>434</v>
      </c>
      <c r="C259" s="94" t="s">
        <v>435</v>
      </c>
      <c r="D259" s="95">
        <v>3215062</v>
      </c>
      <c r="E259" s="95">
        <v>2</v>
      </c>
      <c r="F259" s="95"/>
      <c r="G259" s="95">
        <v>85100</v>
      </c>
      <c r="H259" s="95" t="s">
        <v>322</v>
      </c>
      <c r="I259" s="95"/>
      <c r="J259" s="95" t="s">
        <v>322</v>
      </c>
      <c r="K259" s="95" t="b">
        <v>1</v>
      </c>
      <c r="L259" s="95">
        <v>1</v>
      </c>
      <c r="M259" s="96">
        <v>2026</v>
      </c>
      <c r="N259" s="97">
        <v>0</v>
      </c>
      <c r="O259" s="98">
        <v>46020</v>
      </c>
      <c r="P259" s="98">
        <v>46020</v>
      </c>
      <c r="Q259" s="99">
        <v>0</v>
      </c>
    </row>
    <row r="260" spans="1:17">
      <c r="A260" s="7">
        <v>2025</v>
      </c>
      <c r="B260" s="8" t="s">
        <v>434</v>
      </c>
      <c r="C260" s="94" t="s">
        <v>435</v>
      </c>
      <c r="D260" s="95">
        <v>3215062</v>
      </c>
      <c r="E260" s="95">
        <v>2</v>
      </c>
      <c r="F260" s="95"/>
      <c r="G260" s="95">
        <v>85100</v>
      </c>
      <c r="H260" s="95" t="s">
        <v>322</v>
      </c>
      <c r="I260" s="95"/>
      <c r="J260" s="95" t="s">
        <v>322</v>
      </c>
      <c r="K260" s="95" t="b">
        <v>1</v>
      </c>
      <c r="L260" s="95">
        <v>2</v>
      </c>
      <c r="M260" s="96">
        <v>2027</v>
      </c>
      <c r="N260" s="97">
        <v>0</v>
      </c>
      <c r="O260" s="98">
        <v>46020</v>
      </c>
      <c r="P260" s="98">
        <v>46020</v>
      </c>
      <c r="Q260" s="99">
        <v>0</v>
      </c>
    </row>
    <row r="261" spans="1:17">
      <c r="A261" s="7">
        <v>2025</v>
      </c>
      <c r="B261" s="8" t="s">
        <v>434</v>
      </c>
      <c r="C261" s="94" t="s">
        <v>435</v>
      </c>
      <c r="D261" s="95">
        <v>3215062</v>
      </c>
      <c r="E261" s="95">
        <v>2</v>
      </c>
      <c r="F261" s="95"/>
      <c r="G261" s="95">
        <v>85100</v>
      </c>
      <c r="H261" s="95" t="s">
        <v>322</v>
      </c>
      <c r="I261" s="95"/>
      <c r="J261" s="95" t="s">
        <v>322</v>
      </c>
      <c r="K261" s="95" t="b">
        <v>1</v>
      </c>
      <c r="L261" s="95">
        <v>13</v>
      </c>
      <c r="M261" s="96">
        <v>2038</v>
      </c>
      <c r="N261" s="97">
        <v>0</v>
      </c>
      <c r="O261" s="98">
        <v>46020</v>
      </c>
      <c r="P261" s="98">
        <v>46020</v>
      </c>
      <c r="Q261" s="99">
        <v>0</v>
      </c>
    </row>
    <row r="262" spans="1:17">
      <c r="A262" s="7">
        <v>2025</v>
      </c>
      <c r="B262" s="8" t="s">
        <v>434</v>
      </c>
      <c r="C262" s="94" t="s">
        <v>435</v>
      </c>
      <c r="D262" s="95">
        <v>3215062</v>
      </c>
      <c r="E262" s="95">
        <v>2</v>
      </c>
      <c r="F262" s="95"/>
      <c r="G262" s="95">
        <v>85100</v>
      </c>
      <c r="H262" s="95" t="s">
        <v>322</v>
      </c>
      <c r="I262" s="95"/>
      <c r="J262" s="95" t="s">
        <v>322</v>
      </c>
      <c r="K262" s="95" t="b">
        <v>1</v>
      </c>
      <c r="L262" s="95">
        <v>8</v>
      </c>
      <c r="M262" s="96">
        <v>2033</v>
      </c>
      <c r="N262" s="97">
        <v>0</v>
      </c>
      <c r="O262" s="98">
        <v>46020</v>
      </c>
      <c r="P262" s="98">
        <v>46020</v>
      </c>
      <c r="Q262" s="99">
        <v>0</v>
      </c>
    </row>
    <row r="263" spans="1:17">
      <c r="A263" s="7">
        <v>2025</v>
      </c>
      <c r="B263" s="8" t="s">
        <v>434</v>
      </c>
      <c r="C263" s="94" t="s">
        <v>435</v>
      </c>
      <c r="D263" s="95">
        <v>3215062</v>
      </c>
      <c r="E263" s="95">
        <v>2</v>
      </c>
      <c r="F263" s="95"/>
      <c r="G263" s="95">
        <v>85100</v>
      </c>
      <c r="H263" s="95" t="s">
        <v>322</v>
      </c>
      <c r="I263" s="95"/>
      <c r="J263" s="95" t="s">
        <v>322</v>
      </c>
      <c r="K263" s="95" t="b">
        <v>1</v>
      </c>
      <c r="L263" s="95">
        <v>6</v>
      </c>
      <c r="M263" s="96">
        <v>2031</v>
      </c>
      <c r="N263" s="97">
        <v>0</v>
      </c>
      <c r="O263" s="98">
        <v>46020</v>
      </c>
      <c r="P263" s="98">
        <v>46020</v>
      </c>
      <c r="Q263" s="99">
        <v>0</v>
      </c>
    </row>
    <row r="264" spans="1:17">
      <c r="A264" s="7">
        <v>2025</v>
      </c>
      <c r="B264" s="8" t="s">
        <v>434</v>
      </c>
      <c r="C264" s="94" t="s">
        <v>435</v>
      </c>
      <c r="D264" s="95">
        <v>3215062</v>
      </c>
      <c r="E264" s="95">
        <v>2</v>
      </c>
      <c r="F264" s="95"/>
      <c r="G264" s="95">
        <v>85100</v>
      </c>
      <c r="H264" s="95" t="s">
        <v>322</v>
      </c>
      <c r="I264" s="95"/>
      <c r="J264" s="95" t="s">
        <v>322</v>
      </c>
      <c r="K264" s="95" t="b">
        <v>1</v>
      </c>
      <c r="L264" s="95">
        <v>11</v>
      </c>
      <c r="M264" s="96">
        <v>2036</v>
      </c>
      <c r="N264" s="97">
        <v>0</v>
      </c>
      <c r="O264" s="98">
        <v>46020</v>
      </c>
      <c r="P264" s="98">
        <v>46020</v>
      </c>
      <c r="Q264" s="99">
        <v>0</v>
      </c>
    </row>
    <row r="265" spans="1:17">
      <c r="A265" s="7">
        <v>2025</v>
      </c>
      <c r="B265" s="8" t="s">
        <v>434</v>
      </c>
      <c r="C265" s="94" t="s">
        <v>435</v>
      </c>
      <c r="D265" s="95">
        <v>3215062</v>
      </c>
      <c r="E265" s="95">
        <v>2</v>
      </c>
      <c r="F265" s="95"/>
      <c r="G265" s="95">
        <v>85100</v>
      </c>
      <c r="H265" s="95" t="s">
        <v>322</v>
      </c>
      <c r="I265" s="95"/>
      <c r="J265" s="95" t="s">
        <v>322</v>
      </c>
      <c r="K265" s="95" t="b">
        <v>1</v>
      </c>
      <c r="L265" s="95">
        <v>10</v>
      </c>
      <c r="M265" s="96">
        <v>2035</v>
      </c>
      <c r="N265" s="97">
        <v>0</v>
      </c>
      <c r="O265" s="98">
        <v>46020</v>
      </c>
      <c r="P265" s="98">
        <v>46020</v>
      </c>
      <c r="Q265" s="99">
        <v>0</v>
      </c>
    </row>
    <row r="266" spans="1:17">
      <c r="A266" s="7">
        <v>2025</v>
      </c>
      <c r="B266" s="8" t="s">
        <v>434</v>
      </c>
      <c r="C266" s="94" t="s">
        <v>435</v>
      </c>
      <c r="D266" s="95">
        <v>3215062</v>
      </c>
      <c r="E266" s="95">
        <v>2</v>
      </c>
      <c r="F266" s="95"/>
      <c r="G266" s="95">
        <v>85100</v>
      </c>
      <c r="H266" s="95" t="s">
        <v>322</v>
      </c>
      <c r="I266" s="95"/>
      <c r="J266" s="95" t="s">
        <v>322</v>
      </c>
      <c r="K266" s="95" t="b">
        <v>1</v>
      </c>
      <c r="L266" s="95">
        <v>3</v>
      </c>
      <c r="M266" s="96">
        <v>2028</v>
      </c>
      <c r="N266" s="97">
        <v>0</v>
      </c>
      <c r="O266" s="98">
        <v>46020</v>
      </c>
      <c r="P266" s="98">
        <v>46020</v>
      </c>
      <c r="Q266" s="99">
        <v>0</v>
      </c>
    </row>
    <row r="267" spans="1:17">
      <c r="A267" s="7">
        <v>2025</v>
      </c>
      <c r="B267" s="8" t="s">
        <v>434</v>
      </c>
      <c r="C267" s="94" t="s">
        <v>435</v>
      </c>
      <c r="D267" s="95">
        <v>3215062</v>
      </c>
      <c r="E267" s="95">
        <v>2</v>
      </c>
      <c r="F267" s="95"/>
      <c r="G267" s="95">
        <v>85100</v>
      </c>
      <c r="H267" s="95" t="s">
        <v>322</v>
      </c>
      <c r="I267" s="95"/>
      <c r="J267" s="95" t="s">
        <v>322</v>
      </c>
      <c r="K267" s="95" t="b">
        <v>1</v>
      </c>
      <c r="L267" s="95">
        <v>4</v>
      </c>
      <c r="M267" s="96">
        <v>2029</v>
      </c>
      <c r="N267" s="97">
        <v>0</v>
      </c>
      <c r="O267" s="98">
        <v>46020</v>
      </c>
      <c r="P267" s="98">
        <v>46020</v>
      </c>
      <c r="Q267" s="99">
        <v>0</v>
      </c>
    </row>
    <row r="268" spans="1:17">
      <c r="A268" s="7">
        <v>2025</v>
      </c>
      <c r="B268" s="8" t="s">
        <v>434</v>
      </c>
      <c r="C268" s="94" t="s">
        <v>435</v>
      </c>
      <c r="D268" s="95">
        <v>3215062</v>
      </c>
      <c r="E268" s="95">
        <v>2</v>
      </c>
      <c r="F268" s="95"/>
      <c r="G268" s="95">
        <v>85100</v>
      </c>
      <c r="H268" s="95" t="s">
        <v>322</v>
      </c>
      <c r="I268" s="95"/>
      <c r="J268" s="95" t="s">
        <v>322</v>
      </c>
      <c r="K268" s="95" t="b">
        <v>1</v>
      </c>
      <c r="L268" s="95">
        <v>0</v>
      </c>
      <c r="M268" s="96">
        <v>2025</v>
      </c>
      <c r="N268" s="97">
        <v>0</v>
      </c>
      <c r="O268" s="98">
        <v>46020</v>
      </c>
      <c r="P268" s="98">
        <v>46020</v>
      </c>
      <c r="Q268" s="99">
        <v>0</v>
      </c>
    </row>
    <row r="269" spans="1:17">
      <c r="A269" s="7">
        <v>2025</v>
      </c>
      <c r="B269" s="8" t="s">
        <v>434</v>
      </c>
      <c r="C269" s="94" t="s">
        <v>435</v>
      </c>
      <c r="D269" s="95">
        <v>3215062</v>
      </c>
      <c r="E269" s="95">
        <v>2</v>
      </c>
      <c r="F269" s="95"/>
      <c r="G269" s="95">
        <v>85100</v>
      </c>
      <c r="H269" s="95" t="s">
        <v>322</v>
      </c>
      <c r="I269" s="95"/>
      <c r="J269" s="95" t="s">
        <v>322</v>
      </c>
      <c r="K269" s="95" t="b">
        <v>1</v>
      </c>
      <c r="L269" s="95">
        <v>5</v>
      </c>
      <c r="M269" s="96">
        <v>2030</v>
      </c>
      <c r="N269" s="97">
        <v>0</v>
      </c>
      <c r="O269" s="98">
        <v>46020</v>
      </c>
      <c r="P269" s="98">
        <v>46020</v>
      </c>
      <c r="Q269" s="99">
        <v>0</v>
      </c>
    </row>
    <row r="270" spans="1:17">
      <c r="A270" s="7">
        <v>2025</v>
      </c>
      <c r="B270" s="8" t="s">
        <v>434</v>
      </c>
      <c r="C270" s="94" t="s">
        <v>435</v>
      </c>
      <c r="D270" s="95">
        <v>3215062</v>
      </c>
      <c r="E270" s="95">
        <v>2</v>
      </c>
      <c r="F270" s="95"/>
      <c r="G270" s="95">
        <v>85100</v>
      </c>
      <c r="H270" s="95" t="s">
        <v>322</v>
      </c>
      <c r="I270" s="95"/>
      <c r="J270" s="95" t="s">
        <v>322</v>
      </c>
      <c r="K270" s="95" t="b">
        <v>1</v>
      </c>
      <c r="L270" s="95">
        <v>7</v>
      </c>
      <c r="M270" s="96">
        <v>2032</v>
      </c>
      <c r="N270" s="97">
        <v>0</v>
      </c>
      <c r="O270" s="98">
        <v>46020</v>
      </c>
      <c r="P270" s="98">
        <v>46020</v>
      </c>
      <c r="Q270" s="99">
        <v>0</v>
      </c>
    </row>
    <row r="271" spans="1:17">
      <c r="A271" s="7">
        <v>2025</v>
      </c>
      <c r="B271" s="8" t="s">
        <v>434</v>
      </c>
      <c r="C271" s="94" t="s">
        <v>435</v>
      </c>
      <c r="D271" s="95">
        <v>3215062</v>
      </c>
      <c r="E271" s="95">
        <v>2</v>
      </c>
      <c r="F271" s="95"/>
      <c r="G271" s="95">
        <v>85100</v>
      </c>
      <c r="H271" s="95" t="s">
        <v>322</v>
      </c>
      <c r="I271" s="95"/>
      <c r="J271" s="95" t="s">
        <v>322</v>
      </c>
      <c r="K271" s="95" t="b">
        <v>1</v>
      </c>
      <c r="L271" s="95">
        <v>9</v>
      </c>
      <c r="M271" s="96">
        <v>2034</v>
      </c>
      <c r="N271" s="97">
        <v>0</v>
      </c>
      <c r="O271" s="98">
        <v>46020</v>
      </c>
      <c r="P271" s="98">
        <v>46020</v>
      </c>
      <c r="Q271" s="99">
        <v>0</v>
      </c>
    </row>
    <row r="272" spans="1:17">
      <c r="A272" s="7">
        <v>2025</v>
      </c>
      <c r="B272" s="8" t="s">
        <v>434</v>
      </c>
      <c r="C272" s="94" t="s">
        <v>435</v>
      </c>
      <c r="D272" s="95">
        <v>3215062</v>
      </c>
      <c r="E272" s="95">
        <v>2</v>
      </c>
      <c r="F272" s="95"/>
      <c r="G272" s="95">
        <v>85100</v>
      </c>
      <c r="H272" s="95" t="s">
        <v>322</v>
      </c>
      <c r="I272" s="95"/>
      <c r="J272" s="95" t="s">
        <v>322</v>
      </c>
      <c r="K272" s="95" t="b">
        <v>1</v>
      </c>
      <c r="L272" s="95">
        <v>12</v>
      </c>
      <c r="M272" s="96">
        <v>2037</v>
      </c>
      <c r="N272" s="97">
        <v>0</v>
      </c>
      <c r="O272" s="98">
        <v>46020</v>
      </c>
      <c r="P272" s="98">
        <v>46020</v>
      </c>
      <c r="Q272" s="99">
        <v>0</v>
      </c>
    </row>
    <row r="273" spans="1:17">
      <c r="A273" s="7">
        <v>2025</v>
      </c>
      <c r="B273" s="8" t="s">
        <v>434</v>
      </c>
      <c r="C273" s="94" t="s">
        <v>435</v>
      </c>
      <c r="D273" s="95">
        <v>3215062</v>
      </c>
      <c r="E273" s="95">
        <v>2</v>
      </c>
      <c r="F273" s="95"/>
      <c r="G273" s="95">
        <v>107100</v>
      </c>
      <c r="H273" s="95" t="s">
        <v>221</v>
      </c>
      <c r="I273" s="95"/>
      <c r="J273" s="95" t="s">
        <v>440</v>
      </c>
      <c r="K273" s="95" t="b">
        <v>1</v>
      </c>
      <c r="L273" s="95">
        <v>11</v>
      </c>
      <c r="M273" s="96">
        <v>2036</v>
      </c>
      <c r="N273" s="97">
        <v>0</v>
      </c>
      <c r="O273" s="98">
        <v>46020</v>
      </c>
      <c r="P273" s="98">
        <v>46020</v>
      </c>
      <c r="Q273" s="99">
        <v>0</v>
      </c>
    </row>
    <row r="274" spans="1:17">
      <c r="A274" s="7">
        <v>2025</v>
      </c>
      <c r="B274" s="8" t="s">
        <v>434</v>
      </c>
      <c r="C274" s="94" t="s">
        <v>435</v>
      </c>
      <c r="D274" s="95">
        <v>3215062</v>
      </c>
      <c r="E274" s="95">
        <v>2</v>
      </c>
      <c r="F274" s="95"/>
      <c r="G274" s="95">
        <v>107100</v>
      </c>
      <c r="H274" s="95" t="s">
        <v>221</v>
      </c>
      <c r="I274" s="95"/>
      <c r="J274" s="95" t="s">
        <v>440</v>
      </c>
      <c r="K274" s="95" t="b">
        <v>1</v>
      </c>
      <c r="L274" s="95">
        <v>5</v>
      </c>
      <c r="M274" s="96">
        <v>2030</v>
      </c>
      <c r="N274" s="97">
        <v>0</v>
      </c>
      <c r="O274" s="98">
        <v>46020</v>
      </c>
      <c r="P274" s="98">
        <v>46020</v>
      </c>
      <c r="Q274" s="99">
        <v>0</v>
      </c>
    </row>
    <row r="275" spans="1:17">
      <c r="A275" s="7">
        <v>2025</v>
      </c>
      <c r="B275" s="8" t="s">
        <v>434</v>
      </c>
      <c r="C275" s="94" t="s">
        <v>435</v>
      </c>
      <c r="D275" s="95">
        <v>3215062</v>
      </c>
      <c r="E275" s="95">
        <v>2</v>
      </c>
      <c r="F275" s="95"/>
      <c r="G275" s="95">
        <v>107100</v>
      </c>
      <c r="H275" s="95" t="s">
        <v>221</v>
      </c>
      <c r="I275" s="95"/>
      <c r="J275" s="95" t="s">
        <v>440</v>
      </c>
      <c r="K275" s="95" t="b">
        <v>1</v>
      </c>
      <c r="L275" s="95">
        <v>10</v>
      </c>
      <c r="M275" s="96">
        <v>2035</v>
      </c>
      <c r="N275" s="97">
        <v>0</v>
      </c>
      <c r="O275" s="98">
        <v>46020</v>
      </c>
      <c r="P275" s="98">
        <v>46020</v>
      </c>
      <c r="Q275" s="99">
        <v>0</v>
      </c>
    </row>
    <row r="276" spans="1:17">
      <c r="A276" s="7">
        <v>2025</v>
      </c>
      <c r="B276" s="8" t="s">
        <v>434</v>
      </c>
      <c r="C276" s="94" t="s">
        <v>435</v>
      </c>
      <c r="D276" s="95">
        <v>3215062</v>
      </c>
      <c r="E276" s="95">
        <v>2</v>
      </c>
      <c r="F276" s="95"/>
      <c r="G276" s="95">
        <v>107100</v>
      </c>
      <c r="H276" s="95" t="s">
        <v>221</v>
      </c>
      <c r="I276" s="95"/>
      <c r="J276" s="95" t="s">
        <v>440</v>
      </c>
      <c r="K276" s="95" t="b">
        <v>1</v>
      </c>
      <c r="L276" s="95">
        <v>13</v>
      </c>
      <c r="M276" s="96">
        <v>2038</v>
      </c>
      <c r="N276" s="97">
        <v>0</v>
      </c>
      <c r="O276" s="98">
        <v>46020</v>
      </c>
      <c r="P276" s="98">
        <v>46020</v>
      </c>
      <c r="Q276" s="99">
        <v>0</v>
      </c>
    </row>
    <row r="277" spans="1:17">
      <c r="A277" s="7">
        <v>2025</v>
      </c>
      <c r="B277" s="8" t="s">
        <v>434</v>
      </c>
      <c r="C277" s="94" t="s">
        <v>435</v>
      </c>
      <c r="D277" s="95">
        <v>3215062</v>
      </c>
      <c r="E277" s="95">
        <v>2</v>
      </c>
      <c r="F277" s="95"/>
      <c r="G277" s="95">
        <v>107100</v>
      </c>
      <c r="H277" s="95" t="s">
        <v>221</v>
      </c>
      <c r="I277" s="95"/>
      <c r="J277" s="95" t="s">
        <v>440</v>
      </c>
      <c r="K277" s="95" t="b">
        <v>1</v>
      </c>
      <c r="L277" s="95">
        <v>6</v>
      </c>
      <c r="M277" s="96">
        <v>2031</v>
      </c>
      <c r="N277" s="97">
        <v>0</v>
      </c>
      <c r="O277" s="98">
        <v>46020</v>
      </c>
      <c r="P277" s="98">
        <v>46020</v>
      </c>
      <c r="Q277" s="99">
        <v>0</v>
      </c>
    </row>
    <row r="278" spans="1:17">
      <c r="A278" s="7">
        <v>2025</v>
      </c>
      <c r="B278" s="8" t="s">
        <v>434</v>
      </c>
      <c r="C278" s="94" t="s">
        <v>435</v>
      </c>
      <c r="D278" s="95">
        <v>3215062</v>
      </c>
      <c r="E278" s="95">
        <v>2</v>
      </c>
      <c r="F278" s="95"/>
      <c r="G278" s="95">
        <v>107100</v>
      </c>
      <c r="H278" s="95" t="s">
        <v>221</v>
      </c>
      <c r="I278" s="95"/>
      <c r="J278" s="95" t="s">
        <v>440</v>
      </c>
      <c r="K278" s="95" t="b">
        <v>1</v>
      </c>
      <c r="L278" s="95">
        <v>3</v>
      </c>
      <c r="M278" s="96">
        <v>2028</v>
      </c>
      <c r="N278" s="97">
        <v>0</v>
      </c>
      <c r="O278" s="98">
        <v>46020</v>
      </c>
      <c r="P278" s="98">
        <v>46020</v>
      </c>
      <c r="Q278" s="99">
        <v>0</v>
      </c>
    </row>
    <row r="279" spans="1:17">
      <c r="A279" s="7">
        <v>2025</v>
      </c>
      <c r="B279" s="8" t="s">
        <v>434</v>
      </c>
      <c r="C279" s="94" t="s">
        <v>435</v>
      </c>
      <c r="D279" s="95">
        <v>3215062</v>
      </c>
      <c r="E279" s="95">
        <v>2</v>
      </c>
      <c r="F279" s="95"/>
      <c r="G279" s="95">
        <v>107100</v>
      </c>
      <c r="H279" s="95" t="s">
        <v>221</v>
      </c>
      <c r="I279" s="95"/>
      <c r="J279" s="95" t="s">
        <v>440</v>
      </c>
      <c r="K279" s="95" t="b">
        <v>1</v>
      </c>
      <c r="L279" s="95">
        <v>7</v>
      </c>
      <c r="M279" s="96">
        <v>2032</v>
      </c>
      <c r="N279" s="97">
        <v>0</v>
      </c>
      <c r="O279" s="98">
        <v>46020</v>
      </c>
      <c r="P279" s="98">
        <v>46020</v>
      </c>
      <c r="Q279" s="99">
        <v>0</v>
      </c>
    </row>
    <row r="280" spans="1:17">
      <c r="A280" s="7">
        <v>2025</v>
      </c>
      <c r="B280" s="8" t="s">
        <v>434</v>
      </c>
      <c r="C280" s="94" t="s">
        <v>435</v>
      </c>
      <c r="D280" s="95">
        <v>3215062</v>
      </c>
      <c r="E280" s="95">
        <v>2</v>
      </c>
      <c r="F280" s="95"/>
      <c r="G280" s="95">
        <v>107100</v>
      </c>
      <c r="H280" s="95" t="s">
        <v>221</v>
      </c>
      <c r="I280" s="95"/>
      <c r="J280" s="95" t="s">
        <v>440</v>
      </c>
      <c r="K280" s="95" t="b">
        <v>1</v>
      </c>
      <c r="L280" s="95">
        <v>1</v>
      </c>
      <c r="M280" s="96">
        <v>2026</v>
      </c>
      <c r="N280" s="97">
        <v>0</v>
      </c>
      <c r="O280" s="98">
        <v>46020</v>
      </c>
      <c r="P280" s="98">
        <v>46020</v>
      </c>
      <c r="Q280" s="99">
        <v>0</v>
      </c>
    </row>
    <row r="281" spans="1:17">
      <c r="A281" s="7">
        <v>2025</v>
      </c>
      <c r="B281" s="8" t="s">
        <v>434</v>
      </c>
      <c r="C281" s="94" t="s">
        <v>435</v>
      </c>
      <c r="D281" s="95">
        <v>3215062</v>
      </c>
      <c r="E281" s="95">
        <v>2</v>
      </c>
      <c r="F281" s="95"/>
      <c r="G281" s="95">
        <v>107100</v>
      </c>
      <c r="H281" s="95" t="s">
        <v>221</v>
      </c>
      <c r="I281" s="95"/>
      <c r="J281" s="95" t="s">
        <v>440</v>
      </c>
      <c r="K281" s="95" t="b">
        <v>1</v>
      </c>
      <c r="L281" s="95">
        <v>12</v>
      </c>
      <c r="M281" s="96">
        <v>2037</v>
      </c>
      <c r="N281" s="97">
        <v>0</v>
      </c>
      <c r="O281" s="98">
        <v>46020</v>
      </c>
      <c r="P281" s="98">
        <v>46020</v>
      </c>
      <c r="Q281" s="99">
        <v>0</v>
      </c>
    </row>
    <row r="282" spans="1:17">
      <c r="A282" s="7">
        <v>2025</v>
      </c>
      <c r="B282" s="8" t="s">
        <v>434</v>
      </c>
      <c r="C282" s="94" t="s">
        <v>435</v>
      </c>
      <c r="D282" s="95">
        <v>3215062</v>
      </c>
      <c r="E282" s="95">
        <v>2</v>
      </c>
      <c r="F282" s="95"/>
      <c r="G282" s="95">
        <v>107100</v>
      </c>
      <c r="H282" s="95" t="s">
        <v>221</v>
      </c>
      <c r="I282" s="95"/>
      <c r="J282" s="95" t="s">
        <v>440</v>
      </c>
      <c r="K282" s="95" t="b">
        <v>1</v>
      </c>
      <c r="L282" s="95">
        <v>9</v>
      </c>
      <c r="M282" s="96">
        <v>2034</v>
      </c>
      <c r="N282" s="97">
        <v>0</v>
      </c>
      <c r="O282" s="98">
        <v>46020</v>
      </c>
      <c r="P282" s="98">
        <v>46020</v>
      </c>
      <c r="Q282" s="99">
        <v>0</v>
      </c>
    </row>
    <row r="283" spans="1:17">
      <c r="A283" s="7">
        <v>2025</v>
      </c>
      <c r="B283" s="8" t="s">
        <v>434</v>
      </c>
      <c r="C283" s="94" t="s">
        <v>435</v>
      </c>
      <c r="D283" s="95">
        <v>3215062</v>
      </c>
      <c r="E283" s="95">
        <v>2</v>
      </c>
      <c r="F283" s="95"/>
      <c r="G283" s="95">
        <v>107100</v>
      </c>
      <c r="H283" s="95" t="s">
        <v>221</v>
      </c>
      <c r="I283" s="95"/>
      <c r="J283" s="95" t="s">
        <v>440</v>
      </c>
      <c r="K283" s="95" t="b">
        <v>1</v>
      </c>
      <c r="L283" s="95">
        <v>0</v>
      </c>
      <c r="M283" s="96">
        <v>2025</v>
      </c>
      <c r="N283" s="97">
        <v>0</v>
      </c>
      <c r="O283" s="98">
        <v>46020</v>
      </c>
      <c r="P283" s="98">
        <v>46020</v>
      </c>
      <c r="Q283" s="99">
        <v>0</v>
      </c>
    </row>
    <row r="284" spans="1:17">
      <c r="A284" s="7">
        <v>2025</v>
      </c>
      <c r="B284" s="8" t="s">
        <v>434</v>
      </c>
      <c r="C284" s="94" t="s">
        <v>435</v>
      </c>
      <c r="D284" s="95">
        <v>3215062</v>
      </c>
      <c r="E284" s="95">
        <v>2</v>
      </c>
      <c r="F284" s="95"/>
      <c r="G284" s="95">
        <v>107100</v>
      </c>
      <c r="H284" s="95" t="s">
        <v>221</v>
      </c>
      <c r="I284" s="95"/>
      <c r="J284" s="95" t="s">
        <v>440</v>
      </c>
      <c r="K284" s="95" t="b">
        <v>1</v>
      </c>
      <c r="L284" s="95">
        <v>2</v>
      </c>
      <c r="M284" s="96">
        <v>2027</v>
      </c>
      <c r="N284" s="97">
        <v>0</v>
      </c>
      <c r="O284" s="98">
        <v>46020</v>
      </c>
      <c r="P284" s="98">
        <v>46020</v>
      </c>
      <c r="Q284" s="99">
        <v>0</v>
      </c>
    </row>
    <row r="285" spans="1:17">
      <c r="A285" s="7">
        <v>2025</v>
      </c>
      <c r="B285" s="8" t="s">
        <v>434</v>
      </c>
      <c r="C285" s="94" t="s">
        <v>435</v>
      </c>
      <c r="D285" s="95">
        <v>3215062</v>
      </c>
      <c r="E285" s="95">
        <v>2</v>
      </c>
      <c r="F285" s="95"/>
      <c r="G285" s="95">
        <v>107100</v>
      </c>
      <c r="H285" s="95" t="s">
        <v>221</v>
      </c>
      <c r="I285" s="95"/>
      <c r="J285" s="95" t="s">
        <v>440</v>
      </c>
      <c r="K285" s="95" t="b">
        <v>1</v>
      </c>
      <c r="L285" s="95">
        <v>8</v>
      </c>
      <c r="M285" s="96">
        <v>2033</v>
      </c>
      <c r="N285" s="97">
        <v>0</v>
      </c>
      <c r="O285" s="98">
        <v>46020</v>
      </c>
      <c r="P285" s="98">
        <v>46020</v>
      </c>
      <c r="Q285" s="99">
        <v>0</v>
      </c>
    </row>
    <row r="286" spans="1:17">
      <c r="A286" s="7">
        <v>2025</v>
      </c>
      <c r="B286" s="8" t="s">
        <v>434</v>
      </c>
      <c r="C286" s="94" t="s">
        <v>435</v>
      </c>
      <c r="D286" s="95">
        <v>3215062</v>
      </c>
      <c r="E286" s="95">
        <v>2</v>
      </c>
      <c r="F286" s="95"/>
      <c r="G286" s="95">
        <v>107100</v>
      </c>
      <c r="H286" s="95" t="s">
        <v>221</v>
      </c>
      <c r="I286" s="95"/>
      <c r="J286" s="95" t="s">
        <v>440</v>
      </c>
      <c r="K286" s="95" t="b">
        <v>1</v>
      </c>
      <c r="L286" s="95">
        <v>4</v>
      </c>
      <c r="M286" s="96">
        <v>2029</v>
      </c>
      <c r="N286" s="97">
        <v>0</v>
      </c>
      <c r="O286" s="98">
        <v>46020</v>
      </c>
      <c r="P286" s="98">
        <v>46020</v>
      </c>
      <c r="Q286" s="99">
        <v>0</v>
      </c>
    </row>
    <row r="287" spans="1:17">
      <c r="A287" s="7">
        <v>2025</v>
      </c>
      <c r="B287" s="8" t="s">
        <v>434</v>
      </c>
      <c r="C287" s="94" t="s">
        <v>435</v>
      </c>
      <c r="D287" s="95">
        <v>3215062</v>
      </c>
      <c r="E287" s="95">
        <v>2</v>
      </c>
      <c r="F287" s="95"/>
      <c r="G287" s="95">
        <v>11510</v>
      </c>
      <c r="H287" s="95" t="s">
        <v>196</v>
      </c>
      <c r="I287" s="95"/>
      <c r="J287" s="95" t="s">
        <v>117</v>
      </c>
      <c r="K287" s="95" t="b">
        <v>1</v>
      </c>
      <c r="L287" s="95">
        <v>0</v>
      </c>
      <c r="M287" s="96">
        <v>2025</v>
      </c>
      <c r="N287" s="97">
        <v>6390911.1399999997</v>
      </c>
      <c r="O287" s="98">
        <v>46020</v>
      </c>
      <c r="P287" s="98">
        <v>46020</v>
      </c>
      <c r="Q287" s="99">
        <v>0</v>
      </c>
    </row>
    <row r="288" spans="1:17">
      <c r="A288" s="7">
        <v>2025</v>
      </c>
      <c r="B288" s="8" t="s">
        <v>434</v>
      </c>
      <c r="C288" s="94" t="s">
        <v>435</v>
      </c>
      <c r="D288" s="95">
        <v>3215062</v>
      </c>
      <c r="E288" s="95">
        <v>2</v>
      </c>
      <c r="F288" s="95"/>
      <c r="G288" s="95">
        <v>11510</v>
      </c>
      <c r="H288" s="95" t="s">
        <v>196</v>
      </c>
      <c r="I288" s="95"/>
      <c r="J288" s="95" t="s">
        <v>117</v>
      </c>
      <c r="K288" s="95" t="b">
        <v>1</v>
      </c>
      <c r="L288" s="95">
        <v>7</v>
      </c>
      <c r="M288" s="96">
        <v>2032</v>
      </c>
      <c r="N288" s="97">
        <v>7761035</v>
      </c>
      <c r="O288" s="98">
        <v>46020</v>
      </c>
      <c r="P288" s="98">
        <v>46020</v>
      </c>
      <c r="Q288" s="99">
        <v>0</v>
      </c>
    </row>
    <row r="289" spans="1:17">
      <c r="A289" s="7">
        <v>2025</v>
      </c>
      <c r="B289" s="8" t="s">
        <v>434</v>
      </c>
      <c r="C289" s="94" t="s">
        <v>435</v>
      </c>
      <c r="D289" s="95">
        <v>3215062</v>
      </c>
      <c r="E289" s="95">
        <v>2</v>
      </c>
      <c r="F289" s="95"/>
      <c r="G289" s="95">
        <v>11510</v>
      </c>
      <c r="H289" s="95" t="s">
        <v>196</v>
      </c>
      <c r="I289" s="95"/>
      <c r="J289" s="95" t="s">
        <v>117</v>
      </c>
      <c r="K289" s="95" t="b">
        <v>1</v>
      </c>
      <c r="L289" s="95">
        <v>5</v>
      </c>
      <c r="M289" s="96">
        <v>2030</v>
      </c>
      <c r="N289" s="97">
        <v>7387064</v>
      </c>
      <c r="O289" s="98">
        <v>46020</v>
      </c>
      <c r="P289" s="98">
        <v>46020</v>
      </c>
      <c r="Q289" s="99">
        <v>0</v>
      </c>
    </row>
    <row r="290" spans="1:17">
      <c r="A290" s="7">
        <v>2025</v>
      </c>
      <c r="B290" s="8" t="s">
        <v>434</v>
      </c>
      <c r="C290" s="94" t="s">
        <v>435</v>
      </c>
      <c r="D290" s="95">
        <v>3215062</v>
      </c>
      <c r="E290" s="95">
        <v>2</v>
      </c>
      <c r="F290" s="95"/>
      <c r="G290" s="95">
        <v>11510</v>
      </c>
      <c r="H290" s="95" t="s">
        <v>196</v>
      </c>
      <c r="I290" s="95"/>
      <c r="J290" s="95" t="s">
        <v>117</v>
      </c>
      <c r="K290" s="95" t="b">
        <v>1</v>
      </c>
      <c r="L290" s="95">
        <v>13</v>
      </c>
      <c r="M290" s="96">
        <v>2038</v>
      </c>
      <c r="N290" s="97">
        <v>9000421</v>
      </c>
      <c r="O290" s="98">
        <v>46020</v>
      </c>
      <c r="P290" s="98">
        <v>46020</v>
      </c>
      <c r="Q290" s="99">
        <v>0</v>
      </c>
    </row>
    <row r="291" spans="1:17">
      <c r="A291" s="7">
        <v>2025</v>
      </c>
      <c r="B291" s="8" t="s">
        <v>434</v>
      </c>
      <c r="C291" s="94" t="s">
        <v>435</v>
      </c>
      <c r="D291" s="95">
        <v>3215062</v>
      </c>
      <c r="E291" s="95">
        <v>2</v>
      </c>
      <c r="F291" s="95"/>
      <c r="G291" s="95">
        <v>11510</v>
      </c>
      <c r="H291" s="95" t="s">
        <v>196</v>
      </c>
      <c r="I291" s="95"/>
      <c r="J291" s="95" t="s">
        <v>117</v>
      </c>
      <c r="K291" s="95" t="b">
        <v>1</v>
      </c>
      <c r="L291" s="95">
        <v>2</v>
      </c>
      <c r="M291" s="96">
        <v>2027</v>
      </c>
      <c r="N291" s="97">
        <v>6819645</v>
      </c>
      <c r="O291" s="98">
        <v>46020</v>
      </c>
      <c r="P291" s="98">
        <v>46020</v>
      </c>
      <c r="Q291" s="99">
        <v>0</v>
      </c>
    </row>
    <row r="292" spans="1:17">
      <c r="A292" s="7">
        <v>2025</v>
      </c>
      <c r="B292" s="8" t="s">
        <v>434</v>
      </c>
      <c r="C292" s="94" t="s">
        <v>435</v>
      </c>
      <c r="D292" s="95">
        <v>3215062</v>
      </c>
      <c r="E292" s="95">
        <v>2</v>
      </c>
      <c r="F292" s="95"/>
      <c r="G292" s="95">
        <v>11510</v>
      </c>
      <c r="H292" s="95" t="s">
        <v>196</v>
      </c>
      <c r="I292" s="95"/>
      <c r="J292" s="95" t="s">
        <v>117</v>
      </c>
      <c r="K292" s="95" t="b">
        <v>1</v>
      </c>
      <c r="L292" s="95">
        <v>4</v>
      </c>
      <c r="M292" s="96">
        <v>2029</v>
      </c>
      <c r="N292" s="97">
        <v>7206892</v>
      </c>
      <c r="O292" s="98">
        <v>46020</v>
      </c>
      <c r="P292" s="98">
        <v>46020</v>
      </c>
      <c r="Q292" s="99">
        <v>0</v>
      </c>
    </row>
    <row r="293" spans="1:17">
      <c r="A293" s="7">
        <v>2025</v>
      </c>
      <c r="B293" s="8" t="s">
        <v>434</v>
      </c>
      <c r="C293" s="94" t="s">
        <v>435</v>
      </c>
      <c r="D293" s="95">
        <v>3215062</v>
      </c>
      <c r="E293" s="95">
        <v>2</v>
      </c>
      <c r="F293" s="95"/>
      <c r="G293" s="95">
        <v>11510</v>
      </c>
      <c r="H293" s="95" t="s">
        <v>196</v>
      </c>
      <c r="I293" s="95"/>
      <c r="J293" s="95" t="s">
        <v>117</v>
      </c>
      <c r="K293" s="95" t="b">
        <v>1</v>
      </c>
      <c r="L293" s="95">
        <v>9</v>
      </c>
      <c r="M293" s="96">
        <v>2034</v>
      </c>
      <c r="N293" s="97">
        <v>8153938</v>
      </c>
      <c r="O293" s="98">
        <v>46020</v>
      </c>
      <c r="P293" s="98">
        <v>46020</v>
      </c>
      <c r="Q293" s="99">
        <v>0</v>
      </c>
    </row>
    <row r="294" spans="1:17">
      <c r="A294" s="7">
        <v>2025</v>
      </c>
      <c r="B294" s="8" t="s">
        <v>434</v>
      </c>
      <c r="C294" s="94" t="s">
        <v>435</v>
      </c>
      <c r="D294" s="95">
        <v>3215062</v>
      </c>
      <c r="E294" s="95">
        <v>2</v>
      </c>
      <c r="F294" s="95"/>
      <c r="G294" s="95">
        <v>11510</v>
      </c>
      <c r="H294" s="95" t="s">
        <v>196</v>
      </c>
      <c r="I294" s="95"/>
      <c r="J294" s="95" t="s">
        <v>117</v>
      </c>
      <c r="K294" s="95" t="b">
        <v>1</v>
      </c>
      <c r="L294" s="95">
        <v>1</v>
      </c>
      <c r="M294" s="96">
        <v>2026</v>
      </c>
      <c r="N294" s="97">
        <v>6614593</v>
      </c>
      <c r="O294" s="98">
        <v>46020</v>
      </c>
      <c r="P294" s="98">
        <v>46020</v>
      </c>
      <c r="Q294" s="99">
        <v>0</v>
      </c>
    </row>
    <row r="295" spans="1:17">
      <c r="A295" s="7">
        <v>2025</v>
      </c>
      <c r="B295" s="8" t="s">
        <v>434</v>
      </c>
      <c r="C295" s="94" t="s">
        <v>435</v>
      </c>
      <c r="D295" s="95">
        <v>3215062</v>
      </c>
      <c r="E295" s="95">
        <v>2</v>
      </c>
      <c r="F295" s="95"/>
      <c r="G295" s="95">
        <v>11510</v>
      </c>
      <c r="H295" s="95" t="s">
        <v>196</v>
      </c>
      <c r="I295" s="95"/>
      <c r="J295" s="95" t="s">
        <v>117</v>
      </c>
      <c r="K295" s="95" t="b">
        <v>1</v>
      </c>
      <c r="L295" s="95">
        <v>3</v>
      </c>
      <c r="M295" s="96">
        <v>2028</v>
      </c>
      <c r="N295" s="97">
        <v>7010595</v>
      </c>
      <c r="O295" s="98">
        <v>46020</v>
      </c>
      <c r="P295" s="98">
        <v>46020</v>
      </c>
      <c r="Q295" s="99">
        <v>0</v>
      </c>
    </row>
    <row r="296" spans="1:17">
      <c r="A296" s="7">
        <v>2025</v>
      </c>
      <c r="B296" s="8" t="s">
        <v>434</v>
      </c>
      <c r="C296" s="94" t="s">
        <v>435</v>
      </c>
      <c r="D296" s="95">
        <v>3215062</v>
      </c>
      <c r="E296" s="95">
        <v>2</v>
      </c>
      <c r="F296" s="95"/>
      <c r="G296" s="95">
        <v>11510</v>
      </c>
      <c r="H296" s="95" t="s">
        <v>196</v>
      </c>
      <c r="I296" s="95"/>
      <c r="J296" s="95" t="s">
        <v>117</v>
      </c>
      <c r="K296" s="95" t="b">
        <v>1</v>
      </c>
      <c r="L296" s="95">
        <v>6</v>
      </c>
      <c r="M296" s="96">
        <v>2031</v>
      </c>
      <c r="N296" s="97">
        <v>7571741</v>
      </c>
      <c r="O296" s="98">
        <v>46020</v>
      </c>
      <c r="P296" s="98">
        <v>46020</v>
      </c>
      <c r="Q296" s="99">
        <v>0</v>
      </c>
    </row>
    <row r="297" spans="1:17">
      <c r="A297" s="7">
        <v>2025</v>
      </c>
      <c r="B297" s="8" t="s">
        <v>434</v>
      </c>
      <c r="C297" s="94" t="s">
        <v>435</v>
      </c>
      <c r="D297" s="95">
        <v>3215062</v>
      </c>
      <c r="E297" s="95">
        <v>2</v>
      </c>
      <c r="F297" s="95"/>
      <c r="G297" s="95">
        <v>11510</v>
      </c>
      <c r="H297" s="95" t="s">
        <v>196</v>
      </c>
      <c r="I297" s="95"/>
      <c r="J297" s="95" t="s">
        <v>117</v>
      </c>
      <c r="K297" s="95" t="b">
        <v>1</v>
      </c>
      <c r="L297" s="95">
        <v>8</v>
      </c>
      <c r="M297" s="96">
        <v>2033</v>
      </c>
      <c r="N297" s="97">
        <v>7955061</v>
      </c>
      <c r="O297" s="98">
        <v>46020</v>
      </c>
      <c r="P297" s="98">
        <v>46020</v>
      </c>
      <c r="Q297" s="99">
        <v>0</v>
      </c>
    </row>
    <row r="298" spans="1:17">
      <c r="A298" s="7">
        <v>2025</v>
      </c>
      <c r="B298" s="8" t="s">
        <v>434</v>
      </c>
      <c r="C298" s="94" t="s">
        <v>435</v>
      </c>
      <c r="D298" s="95">
        <v>3215062</v>
      </c>
      <c r="E298" s="95">
        <v>2</v>
      </c>
      <c r="F298" s="95"/>
      <c r="G298" s="95">
        <v>11510</v>
      </c>
      <c r="H298" s="95" t="s">
        <v>196</v>
      </c>
      <c r="I298" s="95"/>
      <c r="J298" s="95" t="s">
        <v>117</v>
      </c>
      <c r="K298" s="95" t="b">
        <v>1</v>
      </c>
      <c r="L298" s="95">
        <v>11</v>
      </c>
      <c r="M298" s="96">
        <v>2036</v>
      </c>
      <c r="N298" s="97">
        <v>8566731</v>
      </c>
      <c r="O298" s="98">
        <v>46020</v>
      </c>
      <c r="P298" s="98">
        <v>46020</v>
      </c>
      <c r="Q298" s="99">
        <v>0</v>
      </c>
    </row>
    <row r="299" spans="1:17">
      <c r="A299" s="7">
        <v>2025</v>
      </c>
      <c r="B299" s="8" t="s">
        <v>434</v>
      </c>
      <c r="C299" s="94" t="s">
        <v>435</v>
      </c>
      <c r="D299" s="95">
        <v>3215062</v>
      </c>
      <c r="E299" s="95">
        <v>2</v>
      </c>
      <c r="F299" s="95"/>
      <c r="G299" s="95">
        <v>11510</v>
      </c>
      <c r="H299" s="95" t="s">
        <v>196</v>
      </c>
      <c r="I299" s="95"/>
      <c r="J299" s="95" t="s">
        <v>117</v>
      </c>
      <c r="K299" s="95" t="b">
        <v>1</v>
      </c>
      <c r="L299" s="95">
        <v>12</v>
      </c>
      <c r="M299" s="96">
        <v>2037</v>
      </c>
      <c r="N299" s="97">
        <v>8780899</v>
      </c>
      <c r="O299" s="98">
        <v>46020</v>
      </c>
      <c r="P299" s="98">
        <v>46020</v>
      </c>
      <c r="Q299" s="99">
        <v>0</v>
      </c>
    </row>
    <row r="300" spans="1:17">
      <c r="A300" s="7">
        <v>2025</v>
      </c>
      <c r="B300" s="8" t="s">
        <v>434</v>
      </c>
      <c r="C300" s="94" t="s">
        <v>435</v>
      </c>
      <c r="D300" s="95">
        <v>3215062</v>
      </c>
      <c r="E300" s="95">
        <v>2</v>
      </c>
      <c r="F300" s="95"/>
      <c r="G300" s="95">
        <v>11510</v>
      </c>
      <c r="H300" s="95" t="s">
        <v>196</v>
      </c>
      <c r="I300" s="95"/>
      <c r="J300" s="95" t="s">
        <v>117</v>
      </c>
      <c r="K300" s="95" t="b">
        <v>1</v>
      </c>
      <c r="L300" s="95">
        <v>10</v>
      </c>
      <c r="M300" s="96">
        <v>2035</v>
      </c>
      <c r="N300" s="97">
        <v>8357786</v>
      </c>
      <c r="O300" s="98">
        <v>46020</v>
      </c>
      <c r="P300" s="98">
        <v>46020</v>
      </c>
      <c r="Q300" s="99">
        <v>0</v>
      </c>
    </row>
    <row r="301" spans="1:17">
      <c r="A301" s="7">
        <v>2025</v>
      </c>
      <c r="B301" s="8" t="s">
        <v>434</v>
      </c>
      <c r="C301" s="94" t="s">
        <v>435</v>
      </c>
      <c r="D301" s="95">
        <v>3215062</v>
      </c>
      <c r="E301" s="95">
        <v>2</v>
      </c>
      <c r="F301" s="95"/>
      <c r="G301" s="95">
        <v>91100</v>
      </c>
      <c r="H301" s="95" t="s">
        <v>211</v>
      </c>
      <c r="I301" s="95"/>
      <c r="J301" s="95" t="s">
        <v>163</v>
      </c>
      <c r="K301" s="95" t="b">
        <v>1</v>
      </c>
      <c r="L301" s="95">
        <v>10</v>
      </c>
      <c r="M301" s="96">
        <v>2035</v>
      </c>
      <c r="N301" s="97">
        <v>0</v>
      </c>
      <c r="O301" s="98">
        <v>46020</v>
      </c>
      <c r="P301" s="98">
        <v>46020</v>
      </c>
      <c r="Q301" s="99">
        <v>0</v>
      </c>
    </row>
    <row r="302" spans="1:17">
      <c r="A302" s="7">
        <v>2025</v>
      </c>
      <c r="B302" s="8" t="s">
        <v>434</v>
      </c>
      <c r="C302" s="94" t="s">
        <v>435</v>
      </c>
      <c r="D302" s="95">
        <v>3215062</v>
      </c>
      <c r="E302" s="95">
        <v>2</v>
      </c>
      <c r="F302" s="95"/>
      <c r="G302" s="95">
        <v>91100</v>
      </c>
      <c r="H302" s="95" t="s">
        <v>211</v>
      </c>
      <c r="I302" s="95"/>
      <c r="J302" s="95" t="s">
        <v>163</v>
      </c>
      <c r="K302" s="95" t="b">
        <v>1</v>
      </c>
      <c r="L302" s="95">
        <v>5</v>
      </c>
      <c r="M302" s="96">
        <v>2030</v>
      </c>
      <c r="N302" s="97">
        <v>0</v>
      </c>
      <c r="O302" s="98">
        <v>46020</v>
      </c>
      <c r="P302" s="98">
        <v>46020</v>
      </c>
      <c r="Q302" s="99">
        <v>0</v>
      </c>
    </row>
    <row r="303" spans="1:17">
      <c r="A303" s="7">
        <v>2025</v>
      </c>
      <c r="B303" s="8" t="s">
        <v>434</v>
      </c>
      <c r="C303" s="94" t="s">
        <v>435</v>
      </c>
      <c r="D303" s="95">
        <v>3215062</v>
      </c>
      <c r="E303" s="95">
        <v>2</v>
      </c>
      <c r="F303" s="95"/>
      <c r="G303" s="95">
        <v>91100</v>
      </c>
      <c r="H303" s="95" t="s">
        <v>211</v>
      </c>
      <c r="I303" s="95"/>
      <c r="J303" s="95" t="s">
        <v>163</v>
      </c>
      <c r="K303" s="95" t="b">
        <v>1</v>
      </c>
      <c r="L303" s="95">
        <v>13</v>
      </c>
      <c r="M303" s="96">
        <v>2038</v>
      </c>
      <c r="N303" s="97">
        <v>0</v>
      </c>
      <c r="O303" s="98">
        <v>46020</v>
      </c>
      <c r="P303" s="98">
        <v>46020</v>
      </c>
      <c r="Q303" s="99">
        <v>0</v>
      </c>
    </row>
    <row r="304" spans="1:17">
      <c r="A304" s="7">
        <v>2025</v>
      </c>
      <c r="B304" s="8" t="s">
        <v>434</v>
      </c>
      <c r="C304" s="94" t="s">
        <v>435</v>
      </c>
      <c r="D304" s="95">
        <v>3215062</v>
      </c>
      <c r="E304" s="95">
        <v>2</v>
      </c>
      <c r="F304" s="95"/>
      <c r="G304" s="95">
        <v>91100</v>
      </c>
      <c r="H304" s="95" t="s">
        <v>211</v>
      </c>
      <c r="I304" s="95"/>
      <c r="J304" s="95" t="s">
        <v>163</v>
      </c>
      <c r="K304" s="95" t="b">
        <v>1</v>
      </c>
      <c r="L304" s="95">
        <v>6</v>
      </c>
      <c r="M304" s="96">
        <v>2031</v>
      </c>
      <c r="N304" s="97">
        <v>0</v>
      </c>
      <c r="O304" s="98">
        <v>46020</v>
      </c>
      <c r="P304" s="98">
        <v>46020</v>
      </c>
      <c r="Q304" s="99">
        <v>0</v>
      </c>
    </row>
    <row r="305" spans="1:17">
      <c r="A305" s="7">
        <v>2025</v>
      </c>
      <c r="B305" s="8" t="s">
        <v>434</v>
      </c>
      <c r="C305" s="94" t="s">
        <v>435</v>
      </c>
      <c r="D305" s="95">
        <v>3215062</v>
      </c>
      <c r="E305" s="95">
        <v>2</v>
      </c>
      <c r="F305" s="95"/>
      <c r="G305" s="95">
        <v>91100</v>
      </c>
      <c r="H305" s="95" t="s">
        <v>211</v>
      </c>
      <c r="I305" s="95"/>
      <c r="J305" s="95" t="s">
        <v>163</v>
      </c>
      <c r="K305" s="95" t="b">
        <v>1</v>
      </c>
      <c r="L305" s="95">
        <v>0</v>
      </c>
      <c r="M305" s="96">
        <v>2025</v>
      </c>
      <c r="N305" s="97">
        <v>1340921.3999999999</v>
      </c>
      <c r="O305" s="98">
        <v>46020</v>
      </c>
      <c r="P305" s="98">
        <v>46020</v>
      </c>
      <c r="Q305" s="99">
        <v>0</v>
      </c>
    </row>
    <row r="306" spans="1:17">
      <c r="A306" s="7">
        <v>2025</v>
      </c>
      <c r="B306" s="8" t="s">
        <v>434</v>
      </c>
      <c r="C306" s="94" t="s">
        <v>435</v>
      </c>
      <c r="D306" s="95">
        <v>3215062</v>
      </c>
      <c r="E306" s="95">
        <v>2</v>
      </c>
      <c r="F306" s="95"/>
      <c r="G306" s="95">
        <v>91100</v>
      </c>
      <c r="H306" s="95" t="s">
        <v>211</v>
      </c>
      <c r="I306" s="95"/>
      <c r="J306" s="95" t="s">
        <v>163</v>
      </c>
      <c r="K306" s="95" t="b">
        <v>1</v>
      </c>
      <c r="L306" s="95">
        <v>2</v>
      </c>
      <c r="M306" s="96">
        <v>2027</v>
      </c>
      <c r="N306" s="97">
        <v>525030.07999999996</v>
      </c>
      <c r="O306" s="98">
        <v>46020</v>
      </c>
      <c r="P306" s="98">
        <v>46020</v>
      </c>
      <c r="Q306" s="99">
        <v>0</v>
      </c>
    </row>
    <row r="307" spans="1:17">
      <c r="A307" s="7">
        <v>2025</v>
      </c>
      <c r="B307" s="8" t="s">
        <v>434</v>
      </c>
      <c r="C307" s="94" t="s">
        <v>435</v>
      </c>
      <c r="D307" s="95">
        <v>3215062</v>
      </c>
      <c r="E307" s="95">
        <v>2</v>
      </c>
      <c r="F307" s="95"/>
      <c r="G307" s="95">
        <v>91100</v>
      </c>
      <c r="H307" s="95" t="s">
        <v>211</v>
      </c>
      <c r="I307" s="95"/>
      <c r="J307" s="95" t="s">
        <v>163</v>
      </c>
      <c r="K307" s="95" t="b">
        <v>1</v>
      </c>
      <c r="L307" s="95">
        <v>12</v>
      </c>
      <c r="M307" s="96">
        <v>2037</v>
      </c>
      <c r="N307" s="97">
        <v>0</v>
      </c>
      <c r="O307" s="98">
        <v>46020</v>
      </c>
      <c r="P307" s="98">
        <v>46020</v>
      </c>
      <c r="Q307" s="99">
        <v>0</v>
      </c>
    </row>
    <row r="308" spans="1:17">
      <c r="A308" s="7">
        <v>2025</v>
      </c>
      <c r="B308" s="8" t="s">
        <v>434</v>
      </c>
      <c r="C308" s="94" t="s">
        <v>435</v>
      </c>
      <c r="D308" s="95">
        <v>3215062</v>
      </c>
      <c r="E308" s="95">
        <v>2</v>
      </c>
      <c r="F308" s="95"/>
      <c r="G308" s="95">
        <v>91100</v>
      </c>
      <c r="H308" s="95" t="s">
        <v>211</v>
      </c>
      <c r="I308" s="95"/>
      <c r="J308" s="95" t="s">
        <v>163</v>
      </c>
      <c r="K308" s="95" t="b">
        <v>1</v>
      </c>
      <c r="L308" s="95">
        <v>4</v>
      </c>
      <c r="M308" s="96">
        <v>2029</v>
      </c>
      <c r="N308" s="97">
        <v>0</v>
      </c>
      <c r="O308" s="98">
        <v>46020</v>
      </c>
      <c r="P308" s="98">
        <v>46020</v>
      </c>
      <c r="Q308" s="99">
        <v>0</v>
      </c>
    </row>
    <row r="309" spans="1:17">
      <c r="A309" s="7">
        <v>2025</v>
      </c>
      <c r="B309" s="8" t="s">
        <v>434</v>
      </c>
      <c r="C309" s="94" t="s">
        <v>435</v>
      </c>
      <c r="D309" s="95">
        <v>3215062</v>
      </c>
      <c r="E309" s="95">
        <v>2</v>
      </c>
      <c r="F309" s="95"/>
      <c r="G309" s="95">
        <v>91100</v>
      </c>
      <c r="H309" s="95" t="s">
        <v>211</v>
      </c>
      <c r="I309" s="95"/>
      <c r="J309" s="95" t="s">
        <v>163</v>
      </c>
      <c r="K309" s="95" t="b">
        <v>1</v>
      </c>
      <c r="L309" s="95">
        <v>3</v>
      </c>
      <c r="M309" s="96">
        <v>2028</v>
      </c>
      <c r="N309" s="97">
        <v>0</v>
      </c>
      <c r="O309" s="98">
        <v>46020</v>
      </c>
      <c r="P309" s="98">
        <v>46020</v>
      </c>
      <c r="Q309" s="99">
        <v>0</v>
      </c>
    </row>
    <row r="310" spans="1:17">
      <c r="A310" s="7">
        <v>2025</v>
      </c>
      <c r="B310" s="8" t="s">
        <v>434</v>
      </c>
      <c r="C310" s="94" t="s">
        <v>435</v>
      </c>
      <c r="D310" s="95">
        <v>3215062</v>
      </c>
      <c r="E310" s="95">
        <v>2</v>
      </c>
      <c r="F310" s="95"/>
      <c r="G310" s="95">
        <v>91100</v>
      </c>
      <c r="H310" s="95" t="s">
        <v>211</v>
      </c>
      <c r="I310" s="95"/>
      <c r="J310" s="95" t="s">
        <v>163</v>
      </c>
      <c r="K310" s="95" t="b">
        <v>1</v>
      </c>
      <c r="L310" s="95">
        <v>1</v>
      </c>
      <c r="M310" s="96">
        <v>2026</v>
      </c>
      <c r="N310" s="97">
        <v>626069.09</v>
      </c>
      <c r="O310" s="98">
        <v>46020</v>
      </c>
      <c r="P310" s="98">
        <v>46020</v>
      </c>
      <c r="Q310" s="99">
        <v>0</v>
      </c>
    </row>
    <row r="311" spans="1:17">
      <c r="A311" s="7">
        <v>2025</v>
      </c>
      <c r="B311" s="8" t="s">
        <v>434</v>
      </c>
      <c r="C311" s="94" t="s">
        <v>435</v>
      </c>
      <c r="D311" s="95">
        <v>3215062</v>
      </c>
      <c r="E311" s="95">
        <v>2</v>
      </c>
      <c r="F311" s="95"/>
      <c r="G311" s="95">
        <v>91100</v>
      </c>
      <c r="H311" s="95" t="s">
        <v>211</v>
      </c>
      <c r="I311" s="95"/>
      <c r="J311" s="95" t="s">
        <v>163</v>
      </c>
      <c r="K311" s="95" t="b">
        <v>1</v>
      </c>
      <c r="L311" s="95">
        <v>8</v>
      </c>
      <c r="M311" s="96">
        <v>2033</v>
      </c>
      <c r="N311" s="97">
        <v>0</v>
      </c>
      <c r="O311" s="98">
        <v>46020</v>
      </c>
      <c r="P311" s="98">
        <v>46020</v>
      </c>
      <c r="Q311" s="99">
        <v>0</v>
      </c>
    </row>
    <row r="312" spans="1:17">
      <c r="A312" s="7">
        <v>2025</v>
      </c>
      <c r="B312" s="8" t="s">
        <v>434</v>
      </c>
      <c r="C312" s="94" t="s">
        <v>435</v>
      </c>
      <c r="D312" s="95">
        <v>3215062</v>
      </c>
      <c r="E312" s="95">
        <v>2</v>
      </c>
      <c r="F312" s="95"/>
      <c r="G312" s="95">
        <v>91100</v>
      </c>
      <c r="H312" s="95" t="s">
        <v>211</v>
      </c>
      <c r="I312" s="95"/>
      <c r="J312" s="95" t="s">
        <v>163</v>
      </c>
      <c r="K312" s="95" t="b">
        <v>1</v>
      </c>
      <c r="L312" s="95">
        <v>7</v>
      </c>
      <c r="M312" s="96">
        <v>2032</v>
      </c>
      <c r="N312" s="97">
        <v>0</v>
      </c>
      <c r="O312" s="98">
        <v>46020</v>
      </c>
      <c r="P312" s="98">
        <v>46020</v>
      </c>
      <c r="Q312" s="99">
        <v>0</v>
      </c>
    </row>
    <row r="313" spans="1:17">
      <c r="A313" s="7">
        <v>2025</v>
      </c>
      <c r="B313" s="8" t="s">
        <v>434</v>
      </c>
      <c r="C313" s="94" t="s">
        <v>435</v>
      </c>
      <c r="D313" s="95">
        <v>3215062</v>
      </c>
      <c r="E313" s="95">
        <v>2</v>
      </c>
      <c r="F313" s="95"/>
      <c r="G313" s="95">
        <v>91100</v>
      </c>
      <c r="H313" s="95" t="s">
        <v>211</v>
      </c>
      <c r="I313" s="95"/>
      <c r="J313" s="95" t="s">
        <v>163</v>
      </c>
      <c r="K313" s="95" t="b">
        <v>1</v>
      </c>
      <c r="L313" s="95">
        <v>9</v>
      </c>
      <c r="M313" s="96">
        <v>2034</v>
      </c>
      <c r="N313" s="97">
        <v>0</v>
      </c>
      <c r="O313" s="98">
        <v>46020</v>
      </c>
      <c r="P313" s="98">
        <v>46020</v>
      </c>
      <c r="Q313" s="99">
        <v>0</v>
      </c>
    </row>
    <row r="314" spans="1:17">
      <c r="A314" s="7">
        <v>2025</v>
      </c>
      <c r="B314" s="8" t="s">
        <v>434</v>
      </c>
      <c r="C314" s="94" t="s">
        <v>435</v>
      </c>
      <c r="D314" s="95">
        <v>3215062</v>
      </c>
      <c r="E314" s="95">
        <v>2</v>
      </c>
      <c r="F314" s="95"/>
      <c r="G314" s="95">
        <v>91100</v>
      </c>
      <c r="H314" s="95" t="s">
        <v>211</v>
      </c>
      <c r="I314" s="95"/>
      <c r="J314" s="95" t="s">
        <v>163</v>
      </c>
      <c r="K314" s="95" t="b">
        <v>1</v>
      </c>
      <c r="L314" s="95">
        <v>11</v>
      </c>
      <c r="M314" s="96">
        <v>2036</v>
      </c>
      <c r="N314" s="97">
        <v>0</v>
      </c>
      <c r="O314" s="98">
        <v>46020</v>
      </c>
      <c r="P314" s="98">
        <v>46020</v>
      </c>
      <c r="Q314" s="99">
        <v>0</v>
      </c>
    </row>
    <row r="315" spans="1:17">
      <c r="A315" s="7">
        <v>2025</v>
      </c>
      <c r="B315" s="8" t="s">
        <v>434</v>
      </c>
      <c r="C315" s="94" t="s">
        <v>435</v>
      </c>
      <c r="D315" s="95">
        <v>3215062</v>
      </c>
      <c r="E315" s="95">
        <v>2</v>
      </c>
      <c r="F315" s="95"/>
      <c r="G315" s="95">
        <v>21310</v>
      </c>
      <c r="H315" s="95" t="s">
        <v>37</v>
      </c>
      <c r="I315" s="95"/>
      <c r="J315" s="95" t="s">
        <v>126</v>
      </c>
      <c r="K315" s="95" t="b">
        <v>0</v>
      </c>
      <c r="L315" s="95">
        <v>1</v>
      </c>
      <c r="M315" s="96">
        <v>2026</v>
      </c>
      <c r="N315" s="97">
        <v>0</v>
      </c>
      <c r="O315" s="98">
        <v>46020</v>
      </c>
      <c r="P315" s="98">
        <v>46020</v>
      </c>
      <c r="Q315" s="99">
        <v>0</v>
      </c>
    </row>
    <row r="316" spans="1:17">
      <c r="A316" s="7">
        <v>2025</v>
      </c>
      <c r="B316" s="8" t="s">
        <v>434</v>
      </c>
      <c r="C316" s="94" t="s">
        <v>435</v>
      </c>
      <c r="D316" s="95">
        <v>3215062</v>
      </c>
      <c r="E316" s="95">
        <v>2</v>
      </c>
      <c r="F316" s="95"/>
      <c r="G316" s="95">
        <v>21310</v>
      </c>
      <c r="H316" s="95" t="s">
        <v>37</v>
      </c>
      <c r="I316" s="95"/>
      <c r="J316" s="95" t="s">
        <v>126</v>
      </c>
      <c r="K316" s="95" t="b">
        <v>0</v>
      </c>
      <c r="L316" s="95">
        <v>12</v>
      </c>
      <c r="M316" s="96">
        <v>2037</v>
      </c>
      <c r="N316" s="97">
        <v>0</v>
      </c>
      <c r="O316" s="98">
        <v>46020</v>
      </c>
      <c r="P316" s="98">
        <v>46020</v>
      </c>
      <c r="Q316" s="99">
        <v>0</v>
      </c>
    </row>
    <row r="317" spans="1:17">
      <c r="A317" s="7">
        <v>2025</v>
      </c>
      <c r="B317" s="8" t="s">
        <v>434</v>
      </c>
      <c r="C317" s="94" t="s">
        <v>435</v>
      </c>
      <c r="D317" s="95">
        <v>3215062</v>
      </c>
      <c r="E317" s="95">
        <v>2</v>
      </c>
      <c r="F317" s="95"/>
      <c r="G317" s="95">
        <v>21310</v>
      </c>
      <c r="H317" s="95" t="s">
        <v>37</v>
      </c>
      <c r="I317" s="95"/>
      <c r="J317" s="95" t="s">
        <v>126</v>
      </c>
      <c r="K317" s="95" t="b">
        <v>0</v>
      </c>
      <c r="L317" s="95">
        <v>5</v>
      </c>
      <c r="M317" s="96">
        <v>2030</v>
      </c>
      <c r="N317" s="97">
        <v>0</v>
      </c>
      <c r="O317" s="98">
        <v>46020</v>
      </c>
      <c r="P317" s="98">
        <v>46020</v>
      </c>
      <c r="Q317" s="99">
        <v>0</v>
      </c>
    </row>
    <row r="318" spans="1:17">
      <c r="A318" s="7">
        <v>2025</v>
      </c>
      <c r="B318" s="8" t="s">
        <v>434</v>
      </c>
      <c r="C318" s="94" t="s">
        <v>435</v>
      </c>
      <c r="D318" s="95">
        <v>3215062</v>
      </c>
      <c r="E318" s="95">
        <v>2</v>
      </c>
      <c r="F318" s="95"/>
      <c r="G318" s="95">
        <v>21310</v>
      </c>
      <c r="H318" s="95" t="s">
        <v>37</v>
      </c>
      <c r="I318" s="95"/>
      <c r="J318" s="95" t="s">
        <v>126</v>
      </c>
      <c r="K318" s="95" t="b">
        <v>0</v>
      </c>
      <c r="L318" s="95">
        <v>9</v>
      </c>
      <c r="M318" s="96">
        <v>2034</v>
      </c>
      <c r="N318" s="97">
        <v>0</v>
      </c>
      <c r="O318" s="98">
        <v>46020</v>
      </c>
      <c r="P318" s="98">
        <v>46020</v>
      </c>
      <c r="Q318" s="99">
        <v>0</v>
      </c>
    </row>
    <row r="319" spans="1:17">
      <c r="A319" s="7">
        <v>2025</v>
      </c>
      <c r="B319" s="8" t="s">
        <v>434</v>
      </c>
      <c r="C319" s="94" t="s">
        <v>435</v>
      </c>
      <c r="D319" s="95">
        <v>3215062</v>
      </c>
      <c r="E319" s="95">
        <v>2</v>
      </c>
      <c r="F319" s="95"/>
      <c r="G319" s="95">
        <v>21310</v>
      </c>
      <c r="H319" s="95" t="s">
        <v>37</v>
      </c>
      <c r="I319" s="95"/>
      <c r="J319" s="95" t="s">
        <v>126</v>
      </c>
      <c r="K319" s="95" t="b">
        <v>0</v>
      </c>
      <c r="L319" s="95">
        <v>7</v>
      </c>
      <c r="M319" s="96">
        <v>2032</v>
      </c>
      <c r="N319" s="97">
        <v>0</v>
      </c>
      <c r="O319" s="98">
        <v>46020</v>
      </c>
      <c r="P319" s="98">
        <v>46020</v>
      </c>
      <c r="Q319" s="99">
        <v>0</v>
      </c>
    </row>
    <row r="320" spans="1:17">
      <c r="A320" s="7">
        <v>2025</v>
      </c>
      <c r="B320" s="8" t="s">
        <v>434</v>
      </c>
      <c r="C320" s="94" t="s">
        <v>435</v>
      </c>
      <c r="D320" s="95">
        <v>3215062</v>
      </c>
      <c r="E320" s="95">
        <v>2</v>
      </c>
      <c r="F320" s="95"/>
      <c r="G320" s="95">
        <v>21310</v>
      </c>
      <c r="H320" s="95" t="s">
        <v>37</v>
      </c>
      <c r="I320" s="95"/>
      <c r="J320" s="95" t="s">
        <v>126</v>
      </c>
      <c r="K320" s="95" t="b">
        <v>0</v>
      </c>
      <c r="L320" s="95">
        <v>2</v>
      </c>
      <c r="M320" s="96">
        <v>2027</v>
      </c>
      <c r="N320" s="97">
        <v>0</v>
      </c>
      <c r="O320" s="98">
        <v>46020</v>
      </c>
      <c r="P320" s="98">
        <v>46020</v>
      </c>
      <c r="Q320" s="99">
        <v>0</v>
      </c>
    </row>
    <row r="321" spans="1:17">
      <c r="A321" s="7">
        <v>2025</v>
      </c>
      <c r="B321" s="8" t="s">
        <v>434</v>
      </c>
      <c r="C321" s="94" t="s">
        <v>435</v>
      </c>
      <c r="D321" s="95">
        <v>3215062</v>
      </c>
      <c r="E321" s="95">
        <v>2</v>
      </c>
      <c r="F321" s="95"/>
      <c r="G321" s="95">
        <v>21310</v>
      </c>
      <c r="H321" s="95" t="s">
        <v>37</v>
      </c>
      <c r="I321" s="95"/>
      <c r="J321" s="95" t="s">
        <v>126</v>
      </c>
      <c r="K321" s="95" t="b">
        <v>0</v>
      </c>
      <c r="L321" s="95">
        <v>10</v>
      </c>
      <c r="M321" s="96">
        <v>2035</v>
      </c>
      <c r="N321" s="97">
        <v>0</v>
      </c>
      <c r="O321" s="98">
        <v>46020</v>
      </c>
      <c r="P321" s="98">
        <v>46020</v>
      </c>
      <c r="Q321" s="99">
        <v>0</v>
      </c>
    </row>
    <row r="322" spans="1:17">
      <c r="A322" s="7">
        <v>2025</v>
      </c>
      <c r="B322" s="8" t="s">
        <v>434</v>
      </c>
      <c r="C322" s="94" t="s">
        <v>435</v>
      </c>
      <c r="D322" s="95">
        <v>3215062</v>
      </c>
      <c r="E322" s="95">
        <v>2</v>
      </c>
      <c r="F322" s="95"/>
      <c r="G322" s="95">
        <v>21310</v>
      </c>
      <c r="H322" s="95" t="s">
        <v>37</v>
      </c>
      <c r="I322" s="95"/>
      <c r="J322" s="95" t="s">
        <v>126</v>
      </c>
      <c r="K322" s="95" t="b">
        <v>0</v>
      </c>
      <c r="L322" s="95">
        <v>13</v>
      </c>
      <c r="M322" s="96">
        <v>2038</v>
      </c>
      <c r="N322" s="97">
        <v>0</v>
      </c>
      <c r="O322" s="98">
        <v>46020</v>
      </c>
      <c r="P322" s="98">
        <v>46020</v>
      </c>
      <c r="Q322" s="99">
        <v>0</v>
      </c>
    </row>
    <row r="323" spans="1:17">
      <c r="A323" s="7">
        <v>2025</v>
      </c>
      <c r="B323" s="8" t="s">
        <v>434</v>
      </c>
      <c r="C323" s="94" t="s">
        <v>435</v>
      </c>
      <c r="D323" s="95">
        <v>3215062</v>
      </c>
      <c r="E323" s="95">
        <v>2</v>
      </c>
      <c r="F323" s="95"/>
      <c r="G323" s="95">
        <v>21310</v>
      </c>
      <c r="H323" s="95" t="s">
        <v>37</v>
      </c>
      <c r="I323" s="95"/>
      <c r="J323" s="95" t="s">
        <v>126</v>
      </c>
      <c r="K323" s="95" t="b">
        <v>0</v>
      </c>
      <c r="L323" s="95">
        <v>11</v>
      </c>
      <c r="M323" s="96">
        <v>2036</v>
      </c>
      <c r="N323" s="97">
        <v>0</v>
      </c>
      <c r="O323" s="98">
        <v>46020</v>
      </c>
      <c r="P323" s="98">
        <v>46020</v>
      </c>
      <c r="Q323" s="99">
        <v>0</v>
      </c>
    </row>
    <row r="324" spans="1:17">
      <c r="A324" s="7">
        <v>2025</v>
      </c>
      <c r="B324" s="8" t="s">
        <v>434</v>
      </c>
      <c r="C324" s="94" t="s">
        <v>435</v>
      </c>
      <c r="D324" s="95">
        <v>3215062</v>
      </c>
      <c r="E324" s="95">
        <v>2</v>
      </c>
      <c r="F324" s="95"/>
      <c r="G324" s="95">
        <v>21310</v>
      </c>
      <c r="H324" s="95" t="s">
        <v>37</v>
      </c>
      <c r="I324" s="95"/>
      <c r="J324" s="95" t="s">
        <v>126</v>
      </c>
      <c r="K324" s="95" t="b">
        <v>0</v>
      </c>
      <c r="L324" s="95">
        <v>3</v>
      </c>
      <c r="M324" s="96">
        <v>2028</v>
      </c>
      <c r="N324" s="97">
        <v>0</v>
      </c>
      <c r="O324" s="98">
        <v>46020</v>
      </c>
      <c r="P324" s="98">
        <v>46020</v>
      </c>
      <c r="Q324" s="99">
        <v>0</v>
      </c>
    </row>
    <row r="325" spans="1:17">
      <c r="A325" s="7">
        <v>2025</v>
      </c>
      <c r="B325" s="8" t="s">
        <v>434</v>
      </c>
      <c r="C325" s="94" t="s">
        <v>435</v>
      </c>
      <c r="D325" s="95">
        <v>3215062</v>
      </c>
      <c r="E325" s="95">
        <v>2</v>
      </c>
      <c r="F325" s="95"/>
      <c r="G325" s="95">
        <v>21310</v>
      </c>
      <c r="H325" s="95" t="s">
        <v>37</v>
      </c>
      <c r="I325" s="95"/>
      <c r="J325" s="95" t="s">
        <v>126</v>
      </c>
      <c r="K325" s="95" t="b">
        <v>0</v>
      </c>
      <c r="L325" s="95">
        <v>6</v>
      </c>
      <c r="M325" s="96">
        <v>2031</v>
      </c>
      <c r="N325" s="97">
        <v>0</v>
      </c>
      <c r="O325" s="98">
        <v>46020</v>
      </c>
      <c r="P325" s="98">
        <v>46020</v>
      </c>
      <c r="Q325" s="99">
        <v>0</v>
      </c>
    </row>
    <row r="326" spans="1:17">
      <c r="A326" s="7">
        <v>2025</v>
      </c>
      <c r="B326" s="8" t="s">
        <v>434</v>
      </c>
      <c r="C326" s="94" t="s">
        <v>435</v>
      </c>
      <c r="D326" s="95">
        <v>3215062</v>
      </c>
      <c r="E326" s="95">
        <v>2</v>
      </c>
      <c r="F326" s="95"/>
      <c r="G326" s="95">
        <v>21310</v>
      </c>
      <c r="H326" s="95" t="s">
        <v>37</v>
      </c>
      <c r="I326" s="95"/>
      <c r="J326" s="95" t="s">
        <v>126</v>
      </c>
      <c r="K326" s="95" t="b">
        <v>0</v>
      </c>
      <c r="L326" s="95">
        <v>8</v>
      </c>
      <c r="M326" s="96">
        <v>2033</v>
      </c>
      <c r="N326" s="97">
        <v>0</v>
      </c>
      <c r="O326" s="98">
        <v>46020</v>
      </c>
      <c r="P326" s="98">
        <v>46020</v>
      </c>
      <c r="Q326" s="99">
        <v>0</v>
      </c>
    </row>
    <row r="327" spans="1:17">
      <c r="A327" s="7">
        <v>2025</v>
      </c>
      <c r="B327" s="8" t="s">
        <v>434</v>
      </c>
      <c r="C327" s="94" t="s">
        <v>435</v>
      </c>
      <c r="D327" s="95">
        <v>3215062</v>
      </c>
      <c r="E327" s="95">
        <v>2</v>
      </c>
      <c r="F327" s="95"/>
      <c r="G327" s="95">
        <v>21310</v>
      </c>
      <c r="H327" s="95" t="s">
        <v>37</v>
      </c>
      <c r="I327" s="95"/>
      <c r="J327" s="95" t="s">
        <v>126</v>
      </c>
      <c r="K327" s="95" t="b">
        <v>0</v>
      </c>
      <c r="L327" s="95">
        <v>0</v>
      </c>
      <c r="M327" s="96">
        <v>2025</v>
      </c>
      <c r="N327" s="97">
        <v>0</v>
      </c>
      <c r="O327" s="98">
        <v>46020</v>
      </c>
      <c r="P327" s="98">
        <v>46020</v>
      </c>
      <c r="Q327" s="99">
        <v>0</v>
      </c>
    </row>
    <row r="328" spans="1:17">
      <c r="A328" s="7">
        <v>2025</v>
      </c>
      <c r="B328" s="8" t="s">
        <v>434</v>
      </c>
      <c r="C328" s="94" t="s">
        <v>435</v>
      </c>
      <c r="D328" s="95">
        <v>3215062</v>
      </c>
      <c r="E328" s="95">
        <v>2</v>
      </c>
      <c r="F328" s="95"/>
      <c r="G328" s="95">
        <v>21310</v>
      </c>
      <c r="H328" s="95" t="s">
        <v>37</v>
      </c>
      <c r="I328" s="95"/>
      <c r="J328" s="95" t="s">
        <v>126</v>
      </c>
      <c r="K328" s="95" t="b">
        <v>0</v>
      </c>
      <c r="L328" s="95">
        <v>4</v>
      </c>
      <c r="M328" s="96">
        <v>2029</v>
      </c>
      <c r="N328" s="97">
        <v>0</v>
      </c>
      <c r="O328" s="98">
        <v>46020</v>
      </c>
      <c r="P328" s="98">
        <v>46020</v>
      </c>
      <c r="Q328" s="99">
        <v>0</v>
      </c>
    </row>
    <row r="329" spans="1:17">
      <c r="A329" s="7">
        <v>2025</v>
      </c>
      <c r="B329" s="8" t="s">
        <v>434</v>
      </c>
      <c r="C329" s="94" t="s">
        <v>435</v>
      </c>
      <c r="D329" s="95">
        <v>3215062</v>
      </c>
      <c r="E329" s="95">
        <v>2</v>
      </c>
      <c r="F329" s="95"/>
      <c r="G329" s="95">
        <v>101200</v>
      </c>
      <c r="H329" s="95" t="s">
        <v>220</v>
      </c>
      <c r="I329" s="95"/>
      <c r="J329" s="95" t="s">
        <v>175</v>
      </c>
      <c r="K329" s="95" t="b">
        <v>1</v>
      </c>
      <c r="L329" s="95">
        <v>11</v>
      </c>
      <c r="M329" s="96">
        <v>2036</v>
      </c>
      <c r="N329" s="97">
        <v>0</v>
      </c>
      <c r="O329" s="98">
        <v>46020</v>
      </c>
      <c r="P329" s="98">
        <v>46020</v>
      </c>
      <c r="Q329" s="99">
        <v>0</v>
      </c>
    </row>
    <row r="330" spans="1:17">
      <c r="A330" s="7">
        <v>2025</v>
      </c>
      <c r="B330" s="8" t="s">
        <v>434</v>
      </c>
      <c r="C330" s="94" t="s">
        <v>435</v>
      </c>
      <c r="D330" s="95">
        <v>3215062</v>
      </c>
      <c r="E330" s="95">
        <v>2</v>
      </c>
      <c r="F330" s="95"/>
      <c r="G330" s="95">
        <v>101200</v>
      </c>
      <c r="H330" s="95" t="s">
        <v>220</v>
      </c>
      <c r="I330" s="95"/>
      <c r="J330" s="95" t="s">
        <v>175</v>
      </c>
      <c r="K330" s="95" t="b">
        <v>1</v>
      </c>
      <c r="L330" s="95">
        <v>13</v>
      </c>
      <c r="M330" s="96">
        <v>2038</v>
      </c>
      <c r="N330" s="97">
        <v>0</v>
      </c>
      <c r="O330" s="98">
        <v>46020</v>
      </c>
      <c r="P330" s="98">
        <v>46020</v>
      </c>
      <c r="Q330" s="99">
        <v>0</v>
      </c>
    </row>
    <row r="331" spans="1:17">
      <c r="A331" s="7">
        <v>2025</v>
      </c>
      <c r="B331" s="8" t="s">
        <v>434</v>
      </c>
      <c r="C331" s="94" t="s">
        <v>435</v>
      </c>
      <c r="D331" s="95">
        <v>3215062</v>
      </c>
      <c r="E331" s="95">
        <v>2</v>
      </c>
      <c r="F331" s="95"/>
      <c r="G331" s="95">
        <v>101200</v>
      </c>
      <c r="H331" s="95" t="s">
        <v>220</v>
      </c>
      <c r="I331" s="95"/>
      <c r="J331" s="95" t="s">
        <v>175</v>
      </c>
      <c r="K331" s="95" t="b">
        <v>1</v>
      </c>
      <c r="L331" s="95">
        <v>7</v>
      </c>
      <c r="M331" s="96">
        <v>2032</v>
      </c>
      <c r="N331" s="97">
        <v>0</v>
      </c>
      <c r="O331" s="98">
        <v>46020</v>
      </c>
      <c r="P331" s="98">
        <v>46020</v>
      </c>
      <c r="Q331" s="99">
        <v>0</v>
      </c>
    </row>
    <row r="332" spans="1:17">
      <c r="A332" s="7">
        <v>2025</v>
      </c>
      <c r="B332" s="8" t="s">
        <v>434</v>
      </c>
      <c r="C332" s="94" t="s">
        <v>435</v>
      </c>
      <c r="D332" s="95">
        <v>3215062</v>
      </c>
      <c r="E332" s="95">
        <v>2</v>
      </c>
      <c r="F332" s="95"/>
      <c r="G332" s="95">
        <v>101200</v>
      </c>
      <c r="H332" s="95" t="s">
        <v>220</v>
      </c>
      <c r="I332" s="95"/>
      <c r="J332" s="95" t="s">
        <v>175</v>
      </c>
      <c r="K332" s="95" t="b">
        <v>1</v>
      </c>
      <c r="L332" s="95">
        <v>6</v>
      </c>
      <c r="M332" s="96">
        <v>2031</v>
      </c>
      <c r="N332" s="97">
        <v>0</v>
      </c>
      <c r="O332" s="98">
        <v>46020</v>
      </c>
      <c r="P332" s="98">
        <v>46020</v>
      </c>
      <c r="Q332" s="99">
        <v>0</v>
      </c>
    </row>
    <row r="333" spans="1:17">
      <c r="A333" s="7">
        <v>2025</v>
      </c>
      <c r="B333" s="8" t="s">
        <v>434</v>
      </c>
      <c r="C333" s="94" t="s">
        <v>435</v>
      </c>
      <c r="D333" s="95">
        <v>3215062</v>
      </c>
      <c r="E333" s="95">
        <v>2</v>
      </c>
      <c r="F333" s="95"/>
      <c r="G333" s="95">
        <v>101200</v>
      </c>
      <c r="H333" s="95" t="s">
        <v>220</v>
      </c>
      <c r="I333" s="95"/>
      <c r="J333" s="95" t="s">
        <v>175</v>
      </c>
      <c r="K333" s="95" t="b">
        <v>1</v>
      </c>
      <c r="L333" s="95">
        <v>12</v>
      </c>
      <c r="M333" s="96">
        <v>2037</v>
      </c>
      <c r="N333" s="97">
        <v>0</v>
      </c>
      <c r="O333" s="98">
        <v>46020</v>
      </c>
      <c r="P333" s="98">
        <v>46020</v>
      </c>
      <c r="Q333" s="99">
        <v>0</v>
      </c>
    </row>
    <row r="334" spans="1:17">
      <c r="A334" s="7">
        <v>2025</v>
      </c>
      <c r="B334" s="8" t="s">
        <v>434</v>
      </c>
      <c r="C334" s="94" t="s">
        <v>435</v>
      </c>
      <c r="D334" s="95">
        <v>3215062</v>
      </c>
      <c r="E334" s="95">
        <v>2</v>
      </c>
      <c r="F334" s="95"/>
      <c r="G334" s="95">
        <v>101200</v>
      </c>
      <c r="H334" s="95" t="s">
        <v>220</v>
      </c>
      <c r="I334" s="95"/>
      <c r="J334" s="95" t="s">
        <v>175</v>
      </c>
      <c r="K334" s="95" t="b">
        <v>1</v>
      </c>
      <c r="L334" s="95">
        <v>10</v>
      </c>
      <c r="M334" s="96">
        <v>2035</v>
      </c>
      <c r="N334" s="97">
        <v>0</v>
      </c>
      <c r="O334" s="98">
        <v>46020</v>
      </c>
      <c r="P334" s="98">
        <v>46020</v>
      </c>
      <c r="Q334" s="99">
        <v>0</v>
      </c>
    </row>
    <row r="335" spans="1:17">
      <c r="A335" s="7">
        <v>2025</v>
      </c>
      <c r="B335" s="8" t="s">
        <v>434</v>
      </c>
      <c r="C335" s="94" t="s">
        <v>435</v>
      </c>
      <c r="D335" s="95">
        <v>3215062</v>
      </c>
      <c r="E335" s="95">
        <v>2</v>
      </c>
      <c r="F335" s="95"/>
      <c r="G335" s="95">
        <v>101200</v>
      </c>
      <c r="H335" s="95" t="s">
        <v>220</v>
      </c>
      <c r="I335" s="95"/>
      <c r="J335" s="95" t="s">
        <v>175</v>
      </c>
      <c r="K335" s="95" t="b">
        <v>1</v>
      </c>
      <c r="L335" s="95">
        <v>4</v>
      </c>
      <c r="M335" s="96">
        <v>2029</v>
      </c>
      <c r="N335" s="97">
        <v>0</v>
      </c>
      <c r="O335" s="98">
        <v>46020</v>
      </c>
      <c r="P335" s="98">
        <v>46020</v>
      </c>
      <c r="Q335" s="99">
        <v>0</v>
      </c>
    </row>
    <row r="336" spans="1:17">
      <c r="A336" s="7">
        <v>2025</v>
      </c>
      <c r="B336" s="8" t="s">
        <v>434</v>
      </c>
      <c r="C336" s="94" t="s">
        <v>435</v>
      </c>
      <c r="D336" s="95">
        <v>3215062</v>
      </c>
      <c r="E336" s="95">
        <v>2</v>
      </c>
      <c r="F336" s="95"/>
      <c r="G336" s="95">
        <v>101200</v>
      </c>
      <c r="H336" s="95" t="s">
        <v>220</v>
      </c>
      <c r="I336" s="95"/>
      <c r="J336" s="95" t="s">
        <v>175</v>
      </c>
      <c r="K336" s="95" t="b">
        <v>1</v>
      </c>
      <c r="L336" s="95">
        <v>3</v>
      </c>
      <c r="M336" s="96">
        <v>2028</v>
      </c>
      <c r="N336" s="97">
        <v>5500000</v>
      </c>
      <c r="O336" s="98">
        <v>46020</v>
      </c>
      <c r="P336" s="98">
        <v>46020</v>
      </c>
      <c r="Q336" s="99">
        <v>0</v>
      </c>
    </row>
    <row r="337" spans="1:17">
      <c r="A337" s="7">
        <v>2025</v>
      </c>
      <c r="B337" s="8" t="s">
        <v>434</v>
      </c>
      <c r="C337" s="94" t="s">
        <v>435</v>
      </c>
      <c r="D337" s="95">
        <v>3215062</v>
      </c>
      <c r="E337" s="95">
        <v>2</v>
      </c>
      <c r="F337" s="95"/>
      <c r="G337" s="95">
        <v>101200</v>
      </c>
      <c r="H337" s="95" t="s">
        <v>220</v>
      </c>
      <c r="I337" s="95"/>
      <c r="J337" s="95" t="s">
        <v>175</v>
      </c>
      <c r="K337" s="95" t="b">
        <v>1</v>
      </c>
      <c r="L337" s="95">
        <v>5</v>
      </c>
      <c r="M337" s="96">
        <v>2030</v>
      </c>
      <c r="N337" s="97">
        <v>800000</v>
      </c>
      <c r="O337" s="98">
        <v>46020</v>
      </c>
      <c r="P337" s="98">
        <v>46020</v>
      </c>
      <c r="Q337" s="99">
        <v>0</v>
      </c>
    </row>
    <row r="338" spans="1:17">
      <c r="A338" s="7">
        <v>2025</v>
      </c>
      <c r="B338" s="8" t="s">
        <v>434</v>
      </c>
      <c r="C338" s="94" t="s">
        <v>435</v>
      </c>
      <c r="D338" s="95">
        <v>3215062</v>
      </c>
      <c r="E338" s="95">
        <v>2</v>
      </c>
      <c r="F338" s="95"/>
      <c r="G338" s="95">
        <v>101200</v>
      </c>
      <c r="H338" s="95" t="s">
        <v>220</v>
      </c>
      <c r="I338" s="95"/>
      <c r="J338" s="95" t="s">
        <v>175</v>
      </c>
      <c r="K338" s="95" t="b">
        <v>1</v>
      </c>
      <c r="L338" s="95">
        <v>1</v>
      </c>
      <c r="M338" s="96">
        <v>2026</v>
      </c>
      <c r="N338" s="97">
        <v>16083481.26</v>
      </c>
      <c r="O338" s="98">
        <v>46020</v>
      </c>
      <c r="P338" s="98">
        <v>46020</v>
      </c>
      <c r="Q338" s="99">
        <v>0</v>
      </c>
    </row>
    <row r="339" spans="1:17">
      <c r="A339" s="7">
        <v>2025</v>
      </c>
      <c r="B339" s="8" t="s">
        <v>434</v>
      </c>
      <c r="C339" s="94" t="s">
        <v>435</v>
      </c>
      <c r="D339" s="95">
        <v>3215062</v>
      </c>
      <c r="E339" s="95">
        <v>2</v>
      </c>
      <c r="F339" s="95"/>
      <c r="G339" s="95">
        <v>101200</v>
      </c>
      <c r="H339" s="95" t="s">
        <v>220</v>
      </c>
      <c r="I339" s="95"/>
      <c r="J339" s="95" t="s">
        <v>175</v>
      </c>
      <c r="K339" s="95" t="b">
        <v>1</v>
      </c>
      <c r="L339" s="95">
        <v>9</v>
      </c>
      <c r="M339" s="96">
        <v>2034</v>
      </c>
      <c r="N339" s="97">
        <v>0</v>
      </c>
      <c r="O339" s="98">
        <v>46020</v>
      </c>
      <c r="P339" s="98">
        <v>46020</v>
      </c>
      <c r="Q339" s="99">
        <v>0</v>
      </c>
    </row>
    <row r="340" spans="1:17">
      <c r="A340" s="7">
        <v>2025</v>
      </c>
      <c r="B340" s="8" t="s">
        <v>434</v>
      </c>
      <c r="C340" s="94" t="s">
        <v>435</v>
      </c>
      <c r="D340" s="95">
        <v>3215062</v>
      </c>
      <c r="E340" s="95">
        <v>2</v>
      </c>
      <c r="F340" s="95"/>
      <c r="G340" s="95">
        <v>101200</v>
      </c>
      <c r="H340" s="95" t="s">
        <v>220</v>
      </c>
      <c r="I340" s="95"/>
      <c r="J340" s="95" t="s">
        <v>175</v>
      </c>
      <c r="K340" s="95" t="b">
        <v>1</v>
      </c>
      <c r="L340" s="95">
        <v>2</v>
      </c>
      <c r="M340" s="96">
        <v>2027</v>
      </c>
      <c r="N340" s="97">
        <v>11786360.52</v>
      </c>
      <c r="O340" s="98">
        <v>46020</v>
      </c>
      <c r="P340" s="98">
        <v>46020</v>
      </c>
      <c r="Q340" s="99">
        <v>0</v>
      </c>
    </row>
    <row r="341" spans="1:17">
      <c r="A341" s="7">
        <v>2025</v>
      </c>
      <c r="B341" s="8" t="s">
        <v>434</v>
      </c>
      <c r="C341" s="94" t="s">
        <v>435</v>
      </c>
      <c r="D341" s="95">
        <v>3215062</v>
      </c>
      <c r="E341" s="95">
        <v>2</v>
      </c>
      <c r="F341" s="95"/>
      <c r="G341" s="95">
        <v>101200</v>
      </c>
      <c r="H341" s="95" t="s">
        <v>220</v>
      </c>
      <c r="I341" s="95"/>
      <c r="J341" s="95" t="s">
        <v>175</v>
      </c>
      <c r="K341" s="95" t="b">
        <v>1</v>
      </c>
      <c r="L341" s="95">
        <v>0</v>
      </c>
      <c r="M341" s="96">
        <v>2025</v>
      </c>
      <c r="N341" s="97">
        <v>25413490.149999999</v>
      </c>
      <c r="O341" s="98">
        <v>46020</v>
      </c>
      <c r="P341" s="98">
        <v>46020</v>
      </c>
      <c r="Q341" s="99">
        <v>0</v>
      </c>
    </row>
    <row r="342" spans="1:17">
      <c r="A342" s="7">
        <v>2025</v>
      </c>
      <c r="B342" s="8" t="s">
        <v>434</v>
      </c>
      <c r="C342" s="94" t="s">
        <v>435</v>
      </c>
      <c r="D342" s="95">
        <v>3215062</v>
      </c>
      <c r="E342" s="95">
        <v>2</v>
      </c>
      <c r="F342" s="95"/>
      <c r="G342" s="95">
        <v>101200</v>
      </c>
      <c r="H342" s="95" t="s">
        <v>220</v>
      </c>
      <c r="I342" s="95"/>
      <c r="J342" s="95" t="s">
        <v>175</v>
      </c>
      <c r="K342" s="95" t="b">
        <v>1</v>
      </c>
      <c r="L342" s="95">
        <v>8</v>
      </c>
      <c r="M342" s="96">
        <v>2033</v>
      </c>
      <c r="N342" s="97">
        <v>0</v>
      </c>
      <c r="O342" s="98">
        <v>46020</v>
      </c>
      <c r="P342" s="98">
        <v>46020</v>
      </c>
      <c r="Q342" s="99">
        <v>0</v>
      </c>
    </row>
    <row r="343" spans="1:17">
      <c r="A343" s="7">
        <v>2025</v>
      </c>
      <c r="B343" s="8" t="s">
        <v>434</v>
      </c>
      <c r="C343" s="94" t="s">
        <v>435</v>
      </c>
      <c r="D343" s="95">
        <v>3215062</v>
      </c>
      <c r="E343" s="95">
        <v>2</v>
      </c>
      <c r="F343" s="95"/>
      <c r="G343" s="95">
        <v>109000</v>
      </c>
      <c r="H343" s="95">
        <v>10.9</v>
      </c>
      <c r="I343" s="95"/>
      <c r="J343" s="95" t="s">
        <v>188</v>
      </c>
      <c r="K343" s="95" t="b">
        <v>1</v>
      </c>
      <c r="L343" s="95">
        <v>5</v>
      </c>
      <c r="M343" s="96">
        <v>2030</v>
      </c>
      <c r="N343" s="97">
        <v>0</v>
      </c>
      <c r="O343" s="98">
        <v>46020</v>
      </c>
      <c r="P343" s="98">
        <v>46020</v>
      </c>
      <c r="Q343" s="99">
        <v>0</v>
      </c>
    </row>
    <row r="344" spans="1:17">
      <c r="A344" s="7">
        <v>2025</v>
      </c>
      <c r="B344" s="8" t="s">
        <v>434</v>
      </c>
      <c r="C344" s="94" t="s">
        <v>435</v>
      </c>
      <c r="D344" s="95">
        <v>3215062</v>
      </c>
      <c r="E344" s="95">
        <v>2</v>
      </c>
      <c r="F344" s="95"/>
      <c r="G344" s="95">
        <v>109000</v>
      </c>
      <c r="H344" s="95">
        <v>10.9</v>
      </c>
      <c r="I344" s="95"/>
      <c r="J344" s="95" t="s">
        <v>188</v>
      </c>
      <c r="K344" s="95" t="b">
        <v>1</v>
      </c>
      <c r="L344" s="95">
        <v>11</v>
      </c>
      <c r="M344" s="96">
        <v>2036</v>
      </c>
      <c r="N344" s="97">
        <v>0</v>
      </c>
      <c r="O344" s="98">
        <v>46020</v>
      </c>
      <c r="P344" s="98">
        <v>46020</v>
      </c>
      <c r="Q344" s="99">
        <v>0</v>
      </c>
    </row>
    <row r="345" spans="1:17">
      <c r="A345" s="7">
        <v>2025</v>
      </c>
      <c r="B345" s="8" t="s">
        <v>434</v>
      </c>
      <c r="C345" s="94" t="s">
        <v>435</v>
      </c>
      <c r="D345" s="95">
        <v>3215062</v>
      </c>
      <c r="E345" s="95">
        <v>2</v>
      </c>
      <c r="F345" s="95"/>
      <c r="G345" s="95">
        <v>109000</v>
      </c>
      <c r="H345" s="95">
        <v>10.9</v>
      </c>
      <c r="I345" s="95"/>
      <c r="J345" s="95" t="s">
        <v>188</v>
      </c>
      <c r="K345" s="95" t="b">
        <v>1</v>
      </c>
      <c r="L345" s="95">
        <v>9</v>
      </c>
      <c r="M345" s="96">
        <v>2034</v>
      </c>
      <c r="N345" s="97">
        <v>0</v>
      </c>
      <c r="O345" s="98">
        <v>46020</v>
      </c>
      <c r="P345" s="98">
        <v>46020</v>
      </c>
      <c r="Q345" s="99">
        <v>0</v>
      </c>
    </row>
    <row r="346" spans="1:17">
      <c r="A346" s="7">
        <v>2025</v>
      </c>
      <c r="B346" s="8" t="s">
        <v>434</v>
      </c>
      <c r="C346" s="94" t="s">
        <v>435</v>
      </c>
      <c r="D346" s="95">
        <v>3215062</v>
      </c>
      <c r="E346" s="95">
        <v>2</v>
      </c>
      <c r="F346" s="95"/>
      <c r="G346" s="95">
        <v>109000</v>
      </c>
      <c r="H346" s="95">
        <v>10.9</v>
      </c>
      <c r="I346" s="95"/>
      <c r="J346" s="95" t="s">
        <v>188</v>
      </c>
      <c r="K346" s="95" t="b">
        <v>1</v>
      </c>
      <c r="L346" s="95">
        <v>13</v>
      </c>
      <c r="M346" s="96">
        <v>2038</v>
      </c>
      <c r="N346" s="97">
        <v>0</v>
      </c>
      <c r="O346" s="98">
        <v>46020</v>
      </c>
      <c r="P346" s="98">
        <v>46020</v>
      </c>
      <c r="Q346" s="99">
        <v>0</v>
      </c>
    </row>
    <row r="347" spans="1:17">
      <c r="A347" s="7">
        <v>2025</v>
      </c>
      <c r="B347" s="8" t="s">
        <v>434</v>
      </c>
      <c r="C347" s="94" t="s">
        <v>435</v>
      </c>
      <c r="D347" s="95">
        <v>3215062</v>
      </c>
      <c r="E347" s="95">
        <v>2</v>
      </c>
      <c r="F347" s="95"/>
      <c r="G347" s="95">
        <v>109000</v>
      </c>
      <c r="H347" s="95">
        <v>10.9</v>
      </c>
      <c r="I347" s="95"/>
      <c r="J347" s="95" t="s">
        <v>188</v>
      </c>
      <c r="K347" s="95" t="b">
        <v>1</v>
      </c>
      <c r="L347" s="95">
        <v>4</v>
      </c>
      <c r="M347" s="96">
        <v>2029</v>
      </c>
      <c r="N347" s="97">
        <v>0</v>
      </c>
      <c r="O347" s="98">
        <v>46020</v>
      </c>
      <c r="P347" s="98">
        <v>46020</v>
      </c>
      <c r="Q347" s="99">
        <v>0</v>
      </c>
    </row>
    <row r="348" spans="1:17">
      <c r="A348" s="7">
        <v>2025</v>
      </c>
      <c r="B348" s="8" t="s">
        <v>434</v>
      </c>
      <c r="C348" s="94" t="s">
        <v>435</v>
      </c>
      <c r="D348" s="95">
        <v>3215062</v>
      </c>
      <c r="E348" s="95">
        <v>2</v>
      </c>
      <c r="F348" s="95"/>
      <c r="G348" s="95">
        <v>109000</v>
      </c>
      <c r="H348" s="95">
        <v>10.9</v>
      </c>
      <c r="I348" s="95"/>
      <c r="J348" s="95" t="s">
        <v>188</v>
      </c>
      <c r="K348" s="95" t="b">
        <v>1</v>
      </c>
      <c r="L348" s="95">
        <v>0</v>
      </c>
      <c r="M348" s="96">
        <v>2025</v>
      </c>
      <c r="N348" s="97">
        <v>0</v>
      </c>
      <c r="O348" s="98">
        <v>46020</v>
      </c>
      <c r="P348" s="98">
        <v>46020</v>
      </c>
      <c r="Q348" s="99">
        <v>0</v>
      </c>
    </row>
    <row r="349" spans="1:17">
      <c r="A349" s="7">
        <v>2025</v>
      </c>
      <c r="B349" s="8" t="s">
        <v>434</v>
      </c>
      <c r="C349" s="94" t="s">
        <v>435</v>
      </c>
      <c r="D349" s="95">
        <v>3215062</v>
      </c>
      <c r="E349" s="95">
        <v>2</v>
      </c>
      <c r="F349" s="95"/>
      <c r="G349" s="95">
        <v>109000</v>
      </c>
      <c r="H349" s="95">
        <v>10.9</v>
      </c>
      <c r="I349" s="95"/>
      <c r="J349" s="95" t="s">
        <v>188</v>
      </c>
      <c r="K349" s="95" t="b">
        <v>1</v>
      </c>
      <c r="L349" s="95">
        <v>7</v>
      </c>
      <c r="M349" s="96">
        <v>2032</v>
      </c>
      <c r="N349" s="97">
        <v>0</v>
      </c>
      <c r="O349" s="98">
        <v>46020</v>
      </c>
      <c r="P349" s="98">
        <v>46020</v>
      </c>
      <c r="Q349" s="99">
        <v>0</v>
      </c>
    </row>
    <row r="350" spans="1:17">
      <c r="A350" s="7">
        <v>2025</v>
      </c>
      <c r="B350" s="8" t="s">
        <v>434</v>
      </c>
      <c r="C350" s="94" t="s">
        <v>435</v>
      </c>
      <c r="D350" s="95">
        <v>3215062</v>
      </c>
      <c r="E350" s="95">
        <v>2</v>
      </c>
      <c r="F350" s="95"/>
      <c r="G350" s="95">
        <v>109000</v>
      </c>
      <c r="H350" s="95">
        <v>10.9</v>
      </c>
      <c r="I350" s="95"/>
      <c r="J350" s="95" t="s">
        <v>188</v>
      </c>
      <c r="K350" s="95" t="b">
        <v>1</v>
      </c>
      <c r="L350" s="95">
        <v>1</v>
      </c>
      <c r="M350" s="96">
        <v>2026</v>
      </c>
      <c r="N350" s="97">
        <v>0</v>
      </c>
      <c r="O350" s="98">
        <v>46020</v>
      </c>
      <c r="P350" s="98">
        <v>46020</v>
      </c>
      <c r="Q350" s="99">
        <v>0</v>
      </c>
    </row>
    <row r="351" spans="1:17">
      <c r="A351" s="7">
        <v>2025</v>
      </c>
      <c r="B351" s="8" t="s">
        <v>434</v>
      </c>
      <c r="C351" s="94" t="s">
        <v>435</v>
      </c>
      <c r="D351" s="95">
        <v>3215062</v>
      </c>
      <c r="E351" s="95">
        <v>2</v>
      </c>
      <c r="F351" s="95"/>
      <c r="G351" s="95">
        <v>109000</v>
      </c>
      <c r="H351" s="95">
        <v>10.9</v>
      </c>
      <c r="I351" s="95"/>
      <c r="J351" s="95" t="s">
        <v>188</v>
      </c>
      <c r="K351" s="95" t="b">
        <v>1</v>
      </c>
      <c r="L351" s="95">
        <v>2</v>
      </c>
      <c r="M351" s="96">
        <v>2027</v>
      </c>
      <c r="N351" s="97">
        <v>0</v>
      </c>
      <c r="O351" s="98">
        <v>46020</v>
      </c>
      <c r="P351" s="98">
        <v>46020</v>
      </c>
      <c r="Q351" s="99">
        <v>0</v>
      </c>
    </row>
    <row r="352" spans="1:17">
      <c r="A352" s="7">
        <v>2025</v>
      </c>
      <c r="B352" s="8" t="s">
        <v>434</v>
      </c>
      <c r="C352" s="94" t="s">
        <v>435</v>
      </c>
      <c r="D352" s="95">
        <v>3215062</v>
      </c>
      <c r="E352" s="95">
        <v>2</v>
      </c>
      <c r="F352" s="95"/>
      <c r="G352" s="95">
        <v>109000</v>
      </c>
      <c r="H352" s="95">
        <v>10.9</v>
      </c>
      <c r="I352" s="95"/>
      <c r="J352" s="95" t="s">
        <v>188</v>
      </c>
      <c r="K352" s="95" t="b">
        <v>1</v>
      </c>
      <c r="L352" s="95">
        <v>6</v>
      </c>
      <c r="M352" s="96">
        <v>2031</v>
      </c>
      <c r="N352" s="97">
        <v>0</v>
      </c>
      <c r="O352" s="98">
        <v>46020</v>
      </c>
      <c r="P352" s="98">
        <v>46020</v>
      </c>
      <c r="Q352" s="99">
        <v>0</v>
      </c>
    </row>
    <row r="353" spans="1:17">
      <c r="A353" s="7">
        <v>2025</v>
      </c>
      <c r="B353" s="8" t="s">
        <v>434</v>
      </c>
      <c r="C353" s="94" t="s">
        <v>435</v>
      </c>
      <c r="D353" s="95">
        <v>3215062</v>
      </c>
      <c r="E353" s="95">
        <v>2</v>
      </c>
      <c r="F353" s="95"/>
      <c r="G353" s="95">
        <v>109000</v>
      </c>
      <c r="H353" s="95">
        <v>10.9</v>
      </c>
      <c r="I353" s="95"/>
      <c r="J353" s="95" t="s">
        <v>188</v>
      </c>
      <c r="K353" s="95" t="b">
        <v>1</v>
      </c>
      <c r="L353" s="95">
        <v>10</v>
      </c>
      <c r="M353" s="96">
        <v>2035</v>
      </c>
      <c r="N353" s="97">
        <v>0</v>
      </c>
      <c r="O353" s="98">
        <v>46020</v>
      </c>
      <c r="P353" s="98">
        <v>46020</v>
      </c>
      <c r="Q353" s="99">
        <v>0</v>
      </c>
    </row>
    <row r="354" spans="1:17">
      <c r="A354" s="7">
        <v>2025</v>
      </c>
      <c r="B354" s="8" t="s">
        <v>434</v>
      </c>
      <c r="C354" s="94" t="s">
        <v>435</v>
      </c>
      <c r="D354" s="95">
        <v>3215062</v>
      </c>
      <c r="E354" s="95">
        <v>2</v>
      </c>
      <c r="F354" s="95"/>
      <c r="G354" s="95">
        <v>109000</v>
      </c>
      <c r="H354" s="95">
        <v>10.9</v>
      </c>
      <c r="I354" s="95"/>
      <c r="J354" s="95" t="s">
        <v>188</v>
      </c>
      <c r="K354" s="95" t="b">
        <v>1</v>
      </c>
      <c r="L354" s="95">
        <v>8</v>
      </c>
      <c r="M354" s="96">
        <v>2033</v>
      </c>
      <c r="N354" s="97">
        <v>0</v>
      </c>
      <c r="O354" s="98">
        <v>46020</v>
      </c>
      <c r="P354" s="98">
        <v>46020</v>
      </c>
      <c r="Q354" s="99">
        <v>0</v>
      </c>
    </row>
    <row r="355" spans="1:17">
      <c r="A355" s="7">
        <v>2025</v>
      </c>
      <c r="B355" s="8" t="s">
        <v>434</v>
      </c>
      <c r="C355" s="94" t="s">
        <v>435</v>
      </c>
      <c r="D355" s="95">
        <v>3215062</v>
      </c>
      <c r="E355" s="95">
        <v>2</v>
      </c>
      <c r="F355" s="95"/>
      <c r="G355" s="95">
        <v>109000</v>
      </c>
      <c r="H355" s="95">
        <v>10.9</v>
      </c>
      <c r="I355" s="95"/>
      <c r="J355" s="95" t="s">
        <v>188</v>
      </c>
      <c r="K355" s="95" t="b">
        <v>1</v>
      </c>
      <c r="L355" s="95">
        <v>12</v>
      </c>
      <c r="M355" s="96">
        <v>2037</v>
      </c>
      <c r="N355" s="97">
        <v>0</v>
      </c>
      <c r="O355" s="98">
        <v>46020</v>
      </c>
      <c r="P355" s="98">
        <v>46020</v>
      </c>
      <c r="Q355" s="99">
        <v>0</v>
      </c>
    </row>
    <row r="356" spans="1:17">
      <c r="A356" s="7">
        <v>2025</v>
      </c>
      <c r="B356" s="8" t="s">
        <v>434</v>
      </c>
      <c r="C356" s="94" t="s">
        <v>435</v>
      </c>
      <c r="D356" s="95">
        <v>3215062</v>
      </c>
      <c r="E356" s="95">
        <v>2</v>
      </c>
      <c r="F356" s="95"/>
      <c r="G356" s="95">
        <v>109000</v>
      </c>
      <c r="H356" s="95">
        <v>10.9</v>
      </c>
      <c r="I356" s="95"/>
      <c r="J356" s="95" t="s">
        <v>188</v>
      </c>
      <c r="K356" s="95" t="b">
        <v>1</v>
      </c>
      <c r="L356" s="95">
        <v>3</v>
      </c>
      <c r="M356" s="96">
        <v>2028</v>
      </c>
      <c r="N356" s="97">
        <v>0</v>
      </c>
      <c r="O356" s="98">
        <v>46020</v>
      </c>
      <c r="P356" s="98">
        <v>46020</v>
      </c>
      <c r="Q356" s="99">
        <v>0</v>
      </c>
    </row>
    <row r="357" spans="1:17">
      <c r="A357" s="7">
        <v>2025</v>
      </c>
      <c r="B357" s="8" t="s">
        <v>434</v>
      </c>
      <c r="C357" s="94" t="s">
        <v>435</v>
      </c>
      <c r="D357" s="95">
        <v>3215062</v>
      </c>
      <c r="E357" s="95">
        <v>2</v>
      </c>
      <c r="F357" s="95"/>
      <c r="G357" s="95">
        <v>12100</v>
      </c>
      <c r="H357" s="95" t="s">
        <v>32</v>
      </c>
      <c r="I357" s="95"/>
      <c r="J357" s="95" t="s">
        <v>119</v>
      </c>
      <c r="K357" s="95" t="b">
        <v>1</v>
      </c>
      <c r="L357" s="95">
        <v>8</v>
      </c>
      <c r="M357" s="96">
        <v>2033</v>
      </c>
      <c r="N357" s="97">
        <v>100000</v>
      </c>
      <c r="O357" s="98">
        <v>46020</v>
      </c>
      <c r="P357" s="98">
        <v>46020</v>
      </c>
      <c r="Q357" s="99">
        <v>0</v>
      </c>
    </row>
    <row r="358" spans="1:17">
      <c r="A358" s="7">
        <v>2025</v>
      </c>
      <c r="B358" s="8" t="s">
        <v>434</v>
      </c>
      <c r="C358" s="94" t="s">
        <v>435</v>
      </c>
      <c r="D358" s="95">
        <v>3215062</v>
      </c>
      <c r="E358" s="95">
        <v>2</v>
      </c>
      <c r="F358" s="95"/>
      <c r="G358" s="95">
        <v>12100</v>
      </c>
      <c r="H358" s="95" t="s">
        <v>32</v>
      </c>
      <c r="I358" s="95"/>
      <c r="J358" s="95" t="s">
        <v>119</v>
      </c>
      <c r="K358" s="95" t="b">
        <v>1</v>
      </c>
      <c r="L358" s="95">
        <v>13</v>
      </c>
      <c r="M358" s="96">
        <v>2038</v>
      </c>
      <c r="N358" s="97">
        <v>100000</v>
      </c>
      <c r="O358" s="98">
        <v>46020</v>
      </c>
      <c r="P358" s="98">
        <v>46020</v>
      </c>
      <c r="Q358" s="99">
        <v>0</v>
      </c>
    </row>
    <row r="359" spans="1:17">
      <c r="A359" s="7">
        <v>2025</v>
      </c>
      <c r="B359" s="8" t="s">
        <v>434</v>
      </c>
      <c r="C359" s="94" t="s">
        <v>435</v>
      </c>
      <c r="D359" s="95">
        <v>3215062</v>
      </c>
      <c r="E359" s="95">
        <v>2</v>
      </c>
      <c r="F359" s="95"/>
      <c r="G359" s="95">
        <v>12100</v>
      </c>
      <c r="H359" s="95" t="s">
        <v>32</v>
      </c>
      <c r="I359" s="95"/>
      <c r="J359" s="95" t="s">
        <v>119</v>
      </c>
      <c r="K359" s="95" t="b">
        <v>1</v>
      </c>
      <c r="L359" s="95">
        <v>7</v>
      </c>
      <c r="M359" s="96">
        <v>2032</v>
      </c>
      <c r="N359" s="97">
        <v>100000</v>
      </c>
      <c r="O359" s="98">
        <v>46020</v>
      </c>
      <c r="P359" s="98">
        <v>46020</v>
      </c>
      <c r="Q359" s="99">
        <v>0</v>
      </c>
    </row>
    <row r="360" spans="1:17">
      <c r="A360" s="7">
        <v>2025</v>
      </c>
      <c r="B360" s="8" t="s">
        <v>434</v>
      </c>
      <c r="C360" s="94" t="s">
        <v>435</v>
      </c>
      <c r="D360" s="95">
        <v>3215062</v>
      </c>
      <c r="E360" s="95">
        <v>2</v>
      </c>
      <c r="F360" s="95"/>
      <c r="G360" s="95">
        <v>12100</v>
      </c>
      <c r="H360" s="95" t="s">
        <v>32</v>
      </c>
      <c r="I360" s="95"/>
      <c r="J360" s="95" t="s">
        <v>119</v>
      </c>
      <c r="K360" s="95" t="b">
        <v>1</v>
      </c>
      <c r="L360" s="95">
        <v>5</v>
      </c>
      <c r="M360" s="96">
        <v>2030</v>
      </c>
      <c r="N360" s="97">
        <v>100000</v>
      </c>
      <c r="O360" s="98">
        <v>46020</v>
      </c>
      <c r="P360" s="98">
        <v>46020</v>
      </c>
      <c r="Q360" s="99">
        <v>0</v>
      </c>
    </row>
    <row r="361" spans="1:17">
      <c r="A361" s="7">
        <v>2025</v>
      </c>
      <c r="B361" s="8" t="s">
        <v>434</v>
      </c>
      <c r="C361" s="94" t="s">
        <v>435</v>
      </c>
      <c r="D361" s="95">
        <v>3215062</v>
      </c>
      <c r="E361" s="95">
        <v>2</v>
      </c>
      <c r="F361" s="95"/>
      <c r="G361" s="95">
        <v>12100</v>
      </c>
      <c r="H361" s="95" t="s">
        <v>32</v>
      </c>
      <c r="I361" s="95"/>
      <c r="J361" s="95" t="s">
        <v>119</v>
      </c>
      <c r="K361" s="95" t="b">
        <v>1</v>
      </c>
      <c r="L361" s="95">
        <v>3</v>
      </c>
      <c r="M361" s="96">
        <v>2028</v>
      </c>
      <c r="N361" s="97">
        <v>100000</v>
      </c>
      <c r="O361" s="98">
        <v>46020</v>
      </c>
      <c r="P361" s="98">
        <v>46020</v>
      </c>
      <c r="Q361" s="99">
        <v>0</v>
      </c>
    </row>
    <row r="362" spans="1:17">
      <c r="A362" s="7">
        <v>2025</v>
      </c>
      <c r="B362" s="8" t="s">
        <v>434</v>
      </c>
      <c r="C362" s="94" t="s">
        <v>435</v>
      </c>
      <c r="D362" s="95">
        <v>3215062</v>
      </c>
      <c r="E362" s="95">
        <v>2</v>
      </c>
      <c r="F362" s="95"/>
      <c r="G362" s="95">
        <v>12100</v>
      </c>
      <c r="H362" s="95" t="s">
        <v>32</v>
      </c>
      <c r="I362" s="95"/>
      <c r="J362" s="95" t="s">
        <v>119</v>
      </c>
      <c r="K362" s="95" t="b">
        <v>1</v>
      </c>
      <c r="L362" s="95">
        <v>1</v>
      </c>
      <c r="M362" s="96">
        <v>2026</v>
      </c>
      <c r="N362" s="97">
        <v>500000</v>
      </c>
      <c r="O362" s="98">
        <v>46020</v>
      </c>
      <c r="P362" s="98">
        <v>46020</v>
      </c>
      <c r="Q362" s="99">
        <v>0</v>
      </c>
    </row>
    <row r="363" spans="1:17">
      <c r="A363" s="7">
        <v>2025</v>
      </c>
      <c r="B363" s="8" t="s">
        <v>434</v>
      </c>
      <c r="C363" s="94" t="s">
        <v>435</v>
      </c>
      <c r="D363" s="95">
        <v>3215062</v>
      </c>
      <c r="E363" s="95">
        <v>2</v>
      </c>
      <c r="F363" s="95"/>
      <c r="G363" s="95">
        <v>12100</v>
      </c>
      <c r="H363" s="95" t="s">
        <v>32</v>
      </c>
      <c r="I363" s="95"/>
      <c r="J363" s="95" t="s">
        <v>119</v>
      </c>
      <c r="K363" s="95" t="b">
        <v>1</v>
      </c>
      <c r="L363" s="95">
        <v>6</v>
      </c>
      <c r="M363" s="96">
        <v>2031</v>
      </c>
      <c r="N363" s="97">
        <v>100000</v>
      </c>
      <c r="O363" s="98">
        <v>46020</v>
      </c>
      <c r="P363" s="98">
        <v>46020</v>
      </c>
      <c r="Q363" s="99">
        <v>0</v>
      </c>
    </row>
    <row r="364" spans="1:17">
      <c r="A364" s="7">
        <v>2025</v>
      </c>
      <c r="B364" s="8" t="s">
        <v>434</v>
      </c>
      <c r="C364" s="94" t="s">
        <v>435</v>
      </c>
      <c r="D364" s="95">
        <v>3215062</v>
      </c>
      <c r="E364" s="95">
        <v>2</v>
      </c>
      <c r="F364" s="95"/>
      <c r="G364" s="95">
        <v>12100</v>
      </c>
      <c r="H364" s="95" t="s">
        <v>32</v>
      </c>
      <c r="I364" s="95"/>
      <c r="J364" s="95" t="s">
        <v>119</v>
      </c>
      <c r="K364" s="95" t="b">
        <v>1</v>
      </c>
      <c r="L364" s="95">
        <v>9</v>
      </c>
      <c r="M364" s="96">
        <v>2034</v>
      </c>
      <c r="N364" s="97">
        <v>100000</v>
      </c>
      <c r="O364" s="98">
        <v>46020</v>
      </c>
      <c r="P364" s="98">
        <v>46020</v>
      </c>
      <c r="Q364" s="99">
        <v>0</v>
      </c>
    </row>
    <row r="365" spans="1:17">
      <c r="A365" s="7">
        <v>2025</v>
      </c>
      <c r="B365" s="8" t="s">
        <v>434</v>
      </c>
      <c r="C365" s="94" t="s">
        <v>435</v>
      </c>
      <c r="D365" s="95">
        <v>3215062</v>
      </c>
      <c r="E365" s="95">
        <v>2</v>
      </c>
      <c r="F365" s="95"/>
      <c r="G365" s="95">
        <v>12100</v>
      </c>
      <c r="H365" s="95" t="s">
        <v>32</v>
      </c>
      <c r="I365" s="95"/>
      <c r="J365" s="95" t="s">
        <v>119</v>
      </c>
      <c r="K365" s="95" t="b">
        <v>1</v>
      </c>
      <c r="L365" s="95">
        <v>10</v>
      </c>
      <c r="M365" s="96">
        <v>2035</v>
      </c>
      <c r="N365" s="97">
        <v>100000</v>
      </c>
      <c r="O365" s="98">
        <v>46020</v>
      </c>
      <c r="P365" s="98">
        <v>46020</v>
      </c>
      <c r="Q365" s="99">
        <v>0</v>
      </c>
    </row>
    <row r="366" spans="1:17">
      <c r="A366" s="7">
        <v>2025</v>
      </c>
      <c r="B366" s="8" t="s">
        <v>434</v>
      </c>
      <c r="C366" s="94" t="s">
        <v>435</v>
      </c>
      <c r="D366" s="95">
        <v>3215062</v>
      </c>
      <c r="E366" s="95">
        <v>2</v>
      </c>
      <c r="F366" s="95"/>
      <c r="G366" s="95">
        <v>12100</v>
      </c>
      <c r="H366" s="95" t="s">
        <v>32</v>
      </c>
      <c r="I366" s="95"/>
      <c r="J366" s="95" t="s">
        <v>119</v>
      </c>
      <c r="K366" s="95" t="b">
        <v>1</v>
      </c>
      <c r="L366" s="95">
        <v>11</v>
      </c>
      <c r="M366" s="96">
        <v>2036</v>
      </c>
      <c r="N366" s="97">
        <v>100000</v>
      </c>
      <c r="O366" s="98">
        <v>46020</v>
      </c>
      <c r="P366" s="98">
        <v>46020</v>
      </c>
      <c r="Q366" s="99">
        <v>0</v>
      </c>
    </row>
    <row r="367" spans="1:17">
      <c r="A367" s="7">
        <v>2025</v>
      </c>
      <c r="B367" s="8" t="s">
        <v>434</v>
      </c>
      <c r="C367" s="94" t="s">
        <v>435</v>
      </c>
      <c r="D367" s="95">
        <v>3215062</v>
      </c>
      <c r="E367" s="95">
        <v>2</v>
      </c>
      <c r="F367" s="95"/>
      <c r="G367" s="95">
        <v>12100</v>
      </c>
      <c r="H367" s="95" t="s">
        <v>32</v>
      </c>
      <c r="I367" s="95"/>
      <c r="J367" s="95" t="s">
        <v>119</v>
      </c>
      <c r="K367" s="95" t="b">
        <v>1</v>
      </c>
      <c r="L367" s="95">
        <v>0</v>
      </c>
      <c r="M367" s="96">
        <v>2025</v>
      </c>
      <c r="N367" s="97">
        <v>2491110.6</v>
      </c>
      <c r="O367" s="98">
        <v>46020</v>
      </c>
      <c r="P367" s="98">
        <v>46020</v>
      </c>
      <c r="Q367" s="99">
        <v>0</v>
      </c>
    </row>
    <row r="368" spans="1:17">
      <c r="A368" s="7">
        <v>2025</v>
      </c>
      <c r="B368" s="8" t="s">
        <v>434</v>
      </c>
      <c r="C368" s="94" t="s">
        <v>435</v>
      </c>
      <c r="D368" s="95">
        <v>3215062</v>
      </c>
      <c r="E368" s="95">
        <v>2</v>
      </c>
      <c r="F368" s="95"/>
      <c r="G368" s="95">
        <v>12100</v>
      </c>
      <c r="H368" s="95" t="s">
        <v>32</v>
      </c>
      <c r="I368" s="95"/>
      <c r="J368" s="95" t="s">
        <v>119</v>
      </c>
      <c r="K368" s="95" t="b">
        <v>1</v>
      </c>
      <c r="L368" s="95">
        <v>2</v>
      </c>
      <c r="M368" s="96">
        <v>2027</v>
      </c>
      <c r="N368" s="97">
        <v>100000</v>
      </c>
      <c r="O368" s="98">
        <v>46020</v>
      </c>
      <c r="P368" s="98">
        <v>46020</v>
      </c>
      <c r="Q368" s="99">
        <v>0</v>
      </c>
    </row>
    <row r="369" spans="1:17">
      <c r="A369" s="7">
        <v>2025</v>
      </c>
      <c r="B369" s="8" t="s">
        <v>434</v>
      </c>
      <c r="C369" s="94" t="s">
        <v>435</v>
      </c>
      <c r="D369" s="95">
        <v>3215062</v>
      </c>
      <c r="E369" s="95">
        <v>2</v>
      </c>
      <c r="F369" s="95"/>
      <c r="G369" s="95">
        <v>12100</v>
      </c>
      <c r="H369" s="95" t="s">
        <v>32</v>
      </c>
      <c r="I369" s="95"/>
      <c r="J369" s="95" t="s">
        <v>119</v>
      </c>
      <c r="K369" s="95" t="b">
        <v>1</v>
      </c>
      <c r="L369" s="95">
        <v>12</v>
      </c>
      <c r="M369" s="96">
        <v>2037</v>
      </c>
      <c r="N369" s="97">
        <v>100000</v>
      </c>
      <c r="O369" s="98">
        <v>46020</v>
      </c>
      <c r="P369" s="98">
        <v>46020</v>
      </c>
      <c r="Q369" s="99">
        <v>0</v>
      </c>
    </row>
    <row r="370" spans="1:17">
      <c r="A370" s="7">
        <v>2025</v>
      </c>
      <c r="B370" s="8" t="s">
        <v>434</v>
      </c>
      <c r="C370" s="94" t="s">
        <v>435</v>
      </c>
      <c r="D370" s="95">
        <v>3215062</v>
      </c>
      <c r="E370" s="95">
        <v>2</v>
      </c>
      <c r="F370" s="95"/>
      <c r="G370" s="95">
        <v>12100</v>
      </c>
      <c r="H370" s="95" t="s">
        <v>32</v>
      </c>
      <c r="I370" s="95"/>
      <c r="J370" s="95" t="s">
        <v>119</v>
      </c>
      <c r="K370" s="95" t="b">
        <v>1</v>
      </c>
      <c r="L370" s="95">
        <v>4</v>
      </c>
      <c r="M370" s="96">
        <v>2029</v>
      </c>
      <c r="N370" s="97">
        <v>100000</v>
      </c>
      <c r="O370" s="98">
        <v>46020</v>
      </c>
      <c r="P370" s="98">
        <v>46020</v>
      </c>
      <c r="Q370" s="99">
        <v>0</v>
      </c>
    </row>
    <row r="371" spans="1:17">
      <c r="A371" s="7">
        <v>2025</v>
      </c>
      <c r="B371" s="8" t="s">
        <v>434</v>
      </c>
      <c r="C371" s="94" t="s">
        <v>435</v>
      </c>
      <c r="D371" s="95">
        <v>3215062</v>
      </c>
      <c r="E371" s="95">
        <v>2</v>
      </c>
      <c r="F371" s="95"/>
      <c r="G371" s="95">
        <v>87120</v>
      </c>
      <c r="H371" s="95" t="s">
        <v>388</v>
      </c>
      <c r="I371" s="95" t="s">
        <v>441</v>
      </c>
      <c r="J371" s="95" t="s">
        <v>442</v>
      </c>
      <c r="K371" s="95" t="b">
        <v>1</v>
      </c>
      <c r="L371" s="95">
        <v>11</v>
      </c>
      <c r="M371" s="96">
        <v>2036</v>
      </c>
      <c r="N371" s="97">
        <v>0</v>
      </c>
      <c r="O371" s="98">
        <v>46020</v>
      </c>
      <c r="P371" s="98">
        <v>46020</v>
      </c>
      <c r="Q371" s="99">
        <v>0</v>
      </c>
    </row>
    <row r="372" spans="1:17">
      <c r="A372" s="7">
        <v>2025</v>
      </c>
      <c r="B372" s="8" t="s">
        <v>434</v>
      </c>
      <c r="C372" s="94" t="s">
        <v>435</v>
      </c>
      <c r="D372" s="95">
        <v>3215062</v>
      </c>
      <c r="E372" s="95">
        <v>2</v>
      </c>
      <c r="F372" s="95"/>
      <c r="G372" s="95">
        <v>87120</v>
      </c>
      <c r="H372" s="95" t="s">
        <v>388</v>
      </c>
      <c r="I372" s="95" t="s">
        <v>441</v>
      </c>
      <c r="J372" s="95" t="s">
        <v>442</v>
      </c>
      <c r="K372" s="95" t="b">
        <v>1</v>
      </c>
      <c r="L372" s="95">
        <v>13</v>
      </c>
      <c r="M372" s="96">
        <v>2038</v>
      </c>
      <c r="N372" s="97">
        <v>0</v>
      </c>
      <c r="O372" s="98">
        <v>46020</v>
      </c>
      <c r="P372" s="98">
        <v>46020</v>
      </c>
      <c r="Q372" s="99">
        <v>0</v>
      </c>
    </row>
    <row r="373" spans="1:17">
      <c r="A373" s="7">
        <v>2025</v>
      </c>
      <c r="B373" s="8" t="s">
        <v>434</v>
      </c>
      <c r="C373" s="94" t="s">
        <v>435</v>
      </c>
      <c r="D373" s="95">
        <v>3215062</v>
      </c>
      <c r="E373" s="95">
        <v>2</v>
      </c>
      <c r="F373" s="95"/>
      <c r="G373" s="95">
        <v>87120</v>
      </c>
      <c r="H373" s="95" t="s">
        <v>388</v>
      </c>
      <c r="I373" s="95" t="s">
        <v>441</v>
      </c>
      <c r="J373" s="95" t="s">
        <v>442</v>
      </c>
      <c r="K373" s="95" t="b">
        <v>1</v>
      </c>
      <c r="L373" s="95">
        <v>3</v>
      </c>
      <c r="M373" s="96">
        <v>2028</v>
      </c>
      <c r="N373" s="97">
        <v>3.8199999999999998E-2</v>
      </c>
      <c r="O373" s="98">
        <v>46020</v>
      </c>
      <c r="P373" s="98">
        <v>46020</v>
      </c>
      <c r="Q373" s="99">
        <v>0</v>
      </c>
    </row>
    <row r="374" spans="1:17">
      <c r="A374" s="7">
        <v>2025</v>
      </c>
      <c r="B374" s="8" t="s">
        <v>434</v>
      </c>
      <c r="C374" s="94" t="s">
        <v>435</v>
      </c>
      <c r="D374" s="95">
        <v>3215062</v>
      </c>
      <c r="E374" s="95">
        <v>2</v>
      </c>
      <c r="F374" s="95"/>
      <c r="G374" s="95">
        <v>87120</v>
      </c>
      <c r="H374" s="95" t="s">
        <v>388</v>
      </c>
      <c r="I374" s="95" t="s">
        <v>441</v>
      </c>
      <c r="J374" s="95" t="s">
        <v>442</v>
      </c>
      <c r="K374" s="95" t="b">
        <v>1</v>
      </c>
      <c r="L374" s="95">
        <v>0</v>
      </c>
      <c r="M374" s="96">
        <v>2025</v>
      </c>
      <c r="N374" s="97">
        <v>8.3699999999999997E-2</v>
      </c>
      <c r="O374" s="98">
        <v>46020</v>
      </c>
      <c r="P374" s="98">
        <v>46020</v>
      </c>
      <c r="Q374" s="99">
        <v>0</v>
      </c>
    </row>
    <row r="375" spans="1:17">
      <c r="A375" s="7">
        <v>2025</v>
      </c>
      <c r="B375" s="8" t="s">
        <v>434</v>
      </c>
      <c r="C375" s="94" t="s">
        <v>435</v>
      </c>
      <c r="D375" s="95">
        <v>3215062</v>
      </c>
      <c r="E375" s="95">
        <v>2</v>
      </c>
      <c r="F375" s="95"/>
      <c r="G375" s="95">
        <v>87120</v>
      </c>
      <c r="H375" s="95" t="s">
        <v>388</v>
      </c>
      <c r="I375" s="95" t="s">
        <v>441</v>
      </c>
      <c r="J375" s="95" t="s">
        <v>442</v>
      </c>
      <c r="K375" s="95" t="b">
        <v>1</v>
      </c>
      <c r="L375" s="95">
        <v>10</v>
      </c>
      <c r="M375" s="96">
        <v>2035</v>
      </c>
      <c r="N375" s="97">
        <v>0</v>
      </c>
      <c r="O375" s="98">
        <v>46020</v>
      </c>
      <c r="P375" s="98">
        <v>46020</v>
      </c>
      <c r="Q375" s="99">
        <v>0</v>
      </c>
    </row>
    <row r="376" spans="1:17">
      <c r="A376" s="7">
        <v>2025</v>
      </c>
      <c r="B376" s="8" t="s">
        <v>434</v>
      </c>
      <c r="C376" s="94" t="s">
        <v>435</v>
      </c>
      <c r="D376" s="95">
        <v>3215062</v>
      </c>
      <c r="E376" s="95">
        <v>2</v>
      </c>
      <c r="F376" s="95"/>
      <c r="G376" s="95">
        <v>87120</v>
      </c>
      <c r="H376" s="95" t="s">
        <v>388</v>
      </c>
      <c r="I376" s="95" t="s">
        <v>441</v>
      </c>
      <c r="J376" s="95" t="s">
        <v>442</v>
      </c>
      <c r="K376" s="95" t="b">
        <v>1</v>
      </c>
      <c r="L376" s="95">
        <v>4</v>
      </c>
      <c r="M376" s="96">
        <v>2029</v>
      </c>
      <c r="N376" s="97">
        <v>2.6700000000000002E-2</v>
      </c>
      <c r="O376" s="98">
        <v>46020</v>
      </c>
      <c r="P376" s="98">
        <v>46020</v>
      </c>
      <c r="Q376" s="99">
        <v>0</v>
      </c>
    </row>
    <row r="377" spans="1:17">
      <c r="A377" s="7">
        <v>2025</v>
      </c>
      <c r="B377" s="8" t="s">
        <v>434</v>
      </c>
      <c r="C377" s="94" t="s">
        <v>435</v>
      </c>
      <c r="D377" s="95">
        <v>3215062</v>
      </c>
      <c r="E377" s="95">
        <v>2</v>
      </c>
      <c r="F377" s="95"/>
      <c r="G377" s="95">
        <v>87120</v>
      </c>
      <c r="H377" s="95" t="s">
        <v>388</v>
      </c>
      <c r="I377" s="95" t="s">
        <v>441</v>
      </c>
      <c r="J377" s="95" t="s">
        <v>442</v>
      </c>
      <c r="K377" s="95" t="b">
        <v>1</v>
      </c>
      <c r="L377" s="95">
        <v>6</v>
      </c>
      <c r="M377" s="96">
        <v>2031</v>
      </c>
      <c r="N377" s="97">
        <v>0</v>
      </c>
      <c r="O377" s="98">
        <v>46020</v>
      </c>
      <c r="P377" s="98">
        <v>46020</v>
      </c>
      <c r="Q377" s="99">
        <v>0</v>
      </c>
    </row>
    <row r="378" spans="1:17">
      <c r="A378" s="7">
        <v>2025</v>
      </c>
      <c r="B378" s="8" t="s">
        <v>434</v>
      </c>
      <c r="C378" s="94" t="s">
        <v>435</v>
      </c>
      <c r="D378" s="95">
        <v>3215062</v>
      </c>
      <c r="E378" s="95">
        <v>2</v>
      </c>
      <c r="F378" s="95"/>
      <c r="G378" s="95">
        <v>87120</v>
      </c>
      <c r="H378" s="95" t="s">
        <v>388</v>
      </c>
      <c r="I378" s="95" t="s">
        <v>441</v>
      </c>
      <c r="J378" s="95" t="s">
        <v>442</v>
      </c>
      <c r="K378" s="95" t="b">
        <v>1</v>
      </c>
      <c r="L378" s="95">
        <v>8</v>
      </c>
      <c r="M378" s="96">
        <v>2033</v>
      </c>
      <c r="N378" s="97">
        <v>0</v>
      </c>
      <c r="O378" s="98">
        <v>46020</v>
      </c>
      <c r="P378" s="98">
        <v>46020</v>
      </c>
      <c r="Q378" s="99">
        <v>0</v>
      </c>
    </row>
    <row r="379" spans="1:17">
      <c r="A379" s="7">
        <v>2025</v>
      </c>
      <c r="B379" s="8" t="s">
        <v>434</v>
      </c>
      <c r="C379" s="94" t="s">
        <v>435</v>
      </c>
      <c r="D379" s="95">
        <v>3215062</v>
      </c>
      <c r="E379" s="95">
        <v>2</v>
      </c>
      <c r="F379" s="95"/>
      <c r="G379" s="95">
        <v>87120</v>
      </c>
      <c r="H379" s="95" t="s">
        <v>388</v>
      </c>
      <c r="I379" s="95" t="s">
        <v>441</v>
      </c>
      <c r="J379" s="95" t="s">
        <v>442</v>
      </c>
      <c r="K379" s="95" t="b">
        <v>1</v>
      </c>
      <c r="L379" s="95">
        <v>12</v>
      </c>
      <c r="M379" s="96">
        <v>2037</v>
      </c>
      <c r="N379" s="97">
        <v>0</v>
      </c>
      <c r="O379" s="98">
        <v>46020</v>
      </c>
      <c r="P379" s="98">
        <v>46020</v>
      </c>
      <c r="Q379" s="99">
        <v>0</v>
      </c>
    </row>
    <row r="380" spans="1:17">
      <c r="A380" s="7">
        <v>2025</v>
      </c>
      <c r="B380" s="8" t="s">
        <v>434</v>
      </c>
      <c r="C380" s="94" t="s">
        <v>435</v>
      </c>
      <c r="D380" s="95">
        <v>3215062</v>
      </c>
      <c r="E380" s="95">
        <v>2</v>
      </c>
      <c r="F380" s="95"/>
      <c r="G380" s="95">
        <v>21210</v>
      </c>
      <c r="H380" s="95" t="s">
        <v>197</v>
      </c>
      <c r="I380" s="95"/>
      <c r="J380" s="95" t="s">
        <v>124</v>
      </c>
      <c r="K380" s="95" t="b">
        <v>1</v>
      </c>
      <c r="L380" s="95">
        <v>4</v>
      </c>
      <c r="M380" s="96">
        <v>2029</v>
      </c>
      <c r="N380" s="97">
        <v>0</v>
      </c>
      <c r="O380" s="98">
        <v>46020</v>
      </c>
      <c r="P380" s="98">
        <v>46020</v>
      </c>
      <c r="Q380" s="99">
        <v>0</v>
      </c>
    </row>
    <row r="381" spans="1:17">
      <c r="A381" s="7">
        <v>2025</v>
      </c>
      <c r="B381" s="8" t="s">
        <v>434</v>
      </c>
      <c r="C381" s="94" t="s">
        <v>435</v>
      </c>
      <c r="D381" s="95">
        <v>3215062</v>
      </c>
      <c r="E381" s="95">
        <v>2</v>
      </c>
      <c r="F381" s="95"/>
      <c r="G381" s="95">
        <v>87120</v>
      </c>
      <c r="H381" s="95" t="s">
        <v>388</v>
      </c>
      <c r="I381" s="95" t="s">
        <v>441</v>
      </c>
      <c r="J381" s="95" t="s">
        <v>442</v>
      </c>
      <c r="K381" s="95" t="b">
        <v>1</v>
      </c>
      <c r="L381" s="95">
        <v>5</v>
      </c>
      <c r="M381" s="96">
        <v>2030</v>
      </c>
      <c r="N381" s="97">
        <v>0</v>
      </c>
      <c r="O381" s="98">
        <v>46020</v>
      </c>
      <c r="P381" s="98">
        <v>46020</v>
      </c>
      <c r="Q381" s="99">
        <v>0</v>
      </c>
    </row>
    <row r="382" spans="1:17">
      <c r="A382" s="7">
        <v>2025</v>
      </c>
      <c r="B382" s="8" t="s">
        <v>434</v>
      </c>
      <c r="C382" s="94" t="s">
        <v>435</v>
      </c>
      <c r="D382" s="95">
        <v>3215062</v>
      </c>
      <c r="E382" s="95">
        <v>2</v>
      </c>
      <c r="F382" s="95"/>
      <c r="G382" s="95">
        <v>87120</v>
      </c>
      <c r="H382" s="95" t="s">
        <v>388</v>
      </c>
      <c r="I382" s="95" t="s">
        <v>441</v>
      </c>
      <c r="J382" s="95" t="s">
        <v>442</v>
      </c>
      <c r="K382" s="95" t="b">
        <v>1</v>
      </c>
      <c r="L382" s="95">
        <v>9</v>
      </c>
      <c r="M382" s="96">
        <v>2034</v>
      </c>
      <c r="N382" s="97">
        <v>0</v>
      </c>
      <c r="O382" s="98">
        <v>46020</v>
      </c>
      <c r="P382" s="98">
        <v>46020</v>
      </c>
      <c r="Q382" s="99">
        <v>0</v>
      </c>
    </row>
    <row r="383" spans="1:17">
      <c r="A383" s="7">
        <v>2025</v>
      </c>
      <c r="B383" s="8" t="s">
        <v>434</v>
      </c>
      <c r="C383" s="94" t="s">
        <v>435</v>
      </c>
      <c r="D383" s="95">
        <v>3215062</v>
      </c>
      <c r="E383" s="95">
        <v>2</v>
      </c>
      <c r="F383" s="95"/>
      <c r="G383" s="95">
        <v>87120</v>
      </c>
      <c r="H383" s="95" t="s">
        <v>388</v>
      </c>
      <c r="I383" s="95" t="s">
        <v>441</v>
      </c>
      <c r="J383" s="95" t="s">
        <v>442</v>
      </c>
      <c r="K383" s="95" t="b">
        <v>1</v>
      </c>
      <c r="L383" s="95">
        <v>7</v>
      </c>
      <c r="M383" s="96">
        <v>2032</v>
      </c>
      <c r="N383" s="97">
        <v>0</v>
      </c>
      <c r="O383" s="98">
        <v>46020</v>
      </c>
      <c r="P383" s="98">
        <v>46020</v>
      </c>
      <c r="Q383" s="99">
        <v>0</v>
      </c>
    </row>
    <row r="384" spans="1:17">
      <c r="A384" s="7">
        <v>2025</v>
      </c>
      <c r="B384" s="8" t="s">
        <v>434</v>
      </c>
      <c r="C384" s="94" t="s">
        <v>435</v>
      </c>
      <c r="D384" s="95">
        <v>3215062</v>
      </c>
      <c r="E384" s="95">
        <v>2</v>
      </c>
      <c r="F384" s="95"/>
      <c r="G384" s="95">
        <v>87120</v>
      </c>
      <c r="H384" s="95" t="s">
        <v>388</v>
      </c>
      <c r="I384" s="95" t="s">
        <v>441</v>
      </c>
      <c r="J384" s="95" t="s">
        <v>442</v>
      </c>
      <c r="K384" s="95" t="b">
        <v>1</v>
      </c>
      <c r="L384" s="95">
        <v>2</v>
      </c>
      <c r="M384" s="96">
        <v>2027</v>
      </c>
      <c r="N384" s="97">
        <v>5.2600000000000001E-2</v>
      </c>
      <c r="O384" s="98">
        <v>46020</v>
      </c>
      <c r="P384" s="98">
        <v>46020</v>
      </c>
      <c r="Q384" s="99">
        <v>0</v>
      </c>
    </row>
    <row r="385" spans="1:17">
      <c r="A385" s="7">
        <v>2025</v>
      </c>
      <c r="B385" s="8" t="s">
        <v>434</v>
      </c>
      <c r="C385" s="94" t="s">
        <v>435</v>
      </c>
      <c r="D385" s="95">
        <v>3215062</v>
      </c>
      <c r="E385" s="95">
        <v>2</v>
      </c>
      <c r="F385" s="95"/>
      <c r="G385" s="95">
        <v>87120</v>
      </c>
      <c r="H385" s="95" t="s">
        <v>388</v>
      </c>
      <c r="I385" s="95" t="s">
        <v>441</v>
      </c>
      <c r="J385" s="95" t="s">
        <v>442</v>
      </c>
      <c r="K385" s="95" t="b">
        <v>1</v>
      </c>
      <c r="L385" s="95">
        <v>1</v>
      </c>
      <c r="M385" s="96">
        <v>2026</v>
      </c>
      <c r="N385" s="97">
        <v>6.8599999999999994E-2</v>
      </c>
      <c r="O385" s="98">
        <v>46020</v>
      </c>
      <c r="P385" s="98">
        <v>46020</v>
      </c>
      <c r="Q385" s="99">
        <v>0</v>
      </c>
    </row>
    <row r="386" spans="1:17">
      <c r="A386" s="7">
        <v>2025</v>
      </c>
      <c r="B386" s="8" t="s">
        <v>434</v>
      </c>
      <c r="C386" s="94" t="s">
        <v>435</v>
      </c>
      <c r="D386" s="95">
        <v>3215062</v>
      </c>
      <c r="E386" s="95">
        <v>2</v>
      </c>
      <c r="F386" s="95"/>
      <c r="G386" s="95">
        <v>11500</v>
      </c>
      <c r="H386" s="95" t="s">
        <v>31</v>
      </c>
      <c r="I386" s="95"/>
      <c r="J386" s="95" t="s">
        <v>116</v>
      </c>
      <c r="K386" s="95" t="b">
        <v>1</v>
      </c>
      <c r="L386" s="95">
        <v>6</v>
      </c>
      <c r="M386" s="96">
        <v>2031</v>
      </c>
      <c r="N386" s="97">
        <v>17147651</v>
      </c>
      <c r="O386" s="98">
        <v>46020</v>
      </c>
      <c r="P386" s="98">
        <v>46020</v>
      </c>
      <c r="Q386" s="99">
        <v>0</v>
      </c>
    </row>
    <row r="387" spans="1:17">
      <c r="A387" s="7">
        <v>2025</v>
      </c>
      <c r="B387" s="8" t="s">
        <v>434</v>
      </c>
      <c r="C387" s="94" t="s">
        <v>435</v>
      </c>
      <c r="D387" s="95">
        <v>3215062</v>
      </c>
      <c r="E387" s="95">
        <v>2</v>
      </c>
      <c r="F387" s="95"/>
      <c r="G387" s="95">
        <v>11500</v>
      </c>
      <c r="H387" s="95" t="s">
        <v>31</v>
      </c>
      <c r="I387" s="95"/>
      <c r="J387" s="95" t="s">
        <v>116</v>
      </c>
      <c r="K387" s="95" t="b">
        <v>1</v>
      </c>
      <c r="L387" s="95">
        <v>11</v>
      </c>
      <c r="M387" s="96">
        <v>2036</v>
      </c>
      <c r="N387" s="97">
        <v>19190381</v>
      </c>
      <c r="O387" s="98">
        <v>46020</v>
      </c>
      <c r="P387" s="98">
        <v>46020</v>
      </c>
      <c r="Q387" s="99">
        <v>0</v>
      </c>
    </row>
    <row r="388" spans="1:17">
      <c r="A388" s="7">
        <v>2025</v>
      </c>
      <c r="B388" s="8" t="s">
        <v>434</v>
      </c>
      <c r="C388" s="94" t="s">
        <v>435</v>
      </c>
      <c r="D388" s="95">
        <v>3215062</v>
      </c>
      <c r="E388" s="95">
        <v>2</v>
      </c>
      <c r="F388" s="95"/>
      <c r="G388" s="95">
        <v>11500</v>
      </c>
      <c r="H388" s="95" t="s">
        <v>31</v>
      </c>
      <c r="I388" s="95"/>
      <c r="J388" s="95" t="s">
        <v>116</v>
      </c>
      <c r="K388" s="95" t="b">
        <v>1</v>
      </c>
      <c r="L388" s="95">
        <v>2</v>
      </c>
      <c r="M388" s="96">
        <v>2027</v>
      </c>
      <c r="N388" s="97">
        <v>15195753</v>
      </c>
      <c r="O388" s="98">
        <v>46020</v>
      </c>
      <c r="P388" s="98">
        <v>46020</v>
      </c>
      <c r="Q388" s="99">
        <v>0</v>
      </c>
    </row>
    <row r="389" spans="1:17">
      <c r="A389" s="7">
        <v>2025</v>
      </c>
      <c r="B389" s="8" t="s">
        <v>434</v>
      </c>
      <c r="C389" s="94" t="s">
        <v>435</v>
      </c>
      <c r="D389" s="95">
        <v>3215062</v>
      </c>
      <c r="E389" s="95">
        <v>2</v>
      </c>
      <c r="F389" s="95"/>
      <c r="G389" s="95">
        <v>11500</v>
      </c>
      <c r="H389" s="95" t="s">
        <v>31</v>
      </c>
      <c r="I389" s="95"/>
      <c r="J389" s="95" t="s">
        <v>116</v>
      </c>
      <c r="K389" s="95" t="b">
        <v>1</v>
      </c>
      <c r="L389" s="95">
        <v>12</v>
      </c>
      <c r="M389" s="96">
        <v>2037</v>
      </c>
      <c r="N389" s="97">
        <v>19670141</v>
      </c>
      <c r="O389" s="98">
        <v>46020</v>
      </c>
      <c r="P389" s="98">
        <v>46020</v>
      </c>
      <c r="Q389" s="99">
        <v>0</v>
      </c>
    </row>
    <row r="390" spans="1:17">
      <c r="A390" s="7">
        <v>2025</v>
      </c>
      <c r="B390" s="8" t="s">
        <v>434</v>
      </c>
      <c r="C390" s="94" t="s">
        <v>435</v>
      </c>
      <c r="D390" s="95">
        <v>3215062</v>
      </c>
      <c r="E390" s="95">
        <v>2</v>
      </c>
      <c r="F390" s="95"/>
      <c r="G390" s="95">
        <v>11500</v>
      </c>
      <c r="H390" s="95" t="s">
        <v>31</v>
      </c>
      <c r="I390" s="95"/>
      <c r="J390" s="95" t="s">
        <v>116</v>
      </c>
      <c r="K390" s="95" t="b">
        <v>1</v>
      </c>
      <c r="L390" s="95">
        <v>4</v>
      </c>
      <c r="M390" s="96">
        <v>2029</v>
      </c>
      <c r="N390" s="97">
        <v>16330351</v>
      </c>
      <c r="O390" s="98">
        <v>46020</v>
      </c>
      <c r="P390" s="98">
        <v>46020</v>
      </c>
      <c r="Q390" s="99">
        <v>0</v>
      </c>
    </row>
    <row r="391" spans="1:17">
      <c r="A391" s="7">
        <v>2025</v>
      </c>
      <c r="B391" s="8" t="s">
        <v>434</v>
      </c>
      <c r="C391" s="94" t="s">
        <v>435</v>
      </c>
      <c r="D391" s="95">
        <v>3215062</v>
      </c>
      <c r="E391" s="95">
        <v>2</v>
      </c>
      <c r="F391" s="95"/>
      <c r="G391" s="95">
        <v>11500</v>
      </c>
      <c r="H391" s="95" t="s">
        <v>31</v>
      </c>
      <c r="I391" s="95"/>
      <c r="J391" s="95" t="s">
        <v>116</v>
      </c>
      <c r="K391" s="95" t="b">
        <v>1</v>
      </c>
      <c r="L391" s="95">
        <v>9</v>
      </c>
      <c r="M391" s="96">
        <v>2034</v>
      </c>
      <c r="N391" s="97">
        <v>18451831</v>
      </c>
      <c r="O391" s="98">
        <v>46020</v>
      </c>
      <c r="P391" s="98">
        <v>46020</v>
      </c>
      <c r="Q391" s="99">
        <v>0</v>
      </c>
    </row>
    <row r="392" spans="1:17">
      <c r="A392" s="7">
        <v>2025</v>
      </c>
      <c r="B392" s="8" t="s">
        <v>434</v>
      </c>
      <c r="C392" s="94" t="s">
        <v>435</v>
      </c>
      <c r="D392" s="95">
        <v>3215062</v>
      </c>
      <c r="E392" s="95">
        <v>2</v>
      </c>
      <c r="F392" s="95"/>
      <c r="G392" s="95">
        <v>11500</v>
      </c>
      <c r="H392" s="95" t="s">
        <v>31</v>
      </c>
      <c r="I392" s="95"/>
      <c r="J392" s="95" t="s">
        <v>116</v>
      </c>
      <c r="K392" s="95" t="b">
        <v>1</v>
      </c>
      <c r="L392" s="95">
        <v>8</v>
      </c>
      <c r="M392" s="96">
        <v>2033</v>
      </c>
      <c r="N392" s="97">
        <v>18006327</v>
      </c>
      <c r="O392" s="98">
        <v>46020</v>
      </c>
      <c r="P392" s="98">
        <v>46020</v>
      </c>
      <c r="Q392" s="99">
        <v>0</v>
      </c>
    </row>
    <row r="393" spans="1:17">
      <c r="A393" s="7">
        <v>2025</v>
      </c>
      <c r="B393" s="8" t="s">
        <v>434</v>
      </c>
      <c r="C393" s="94" t="s">
        <v>435</v>
      </c>
      <c r="D393" s="95">
        <v>3215062</v>
      </c>
      <c r="E393" s="95">
        <v>2</v>
      </c>
      <c r="F393" s="95"/>
      <c r="G393" s="95">
        <v>11500</v>
      </c>
      <c r="H393" s="95" t="s">
        <v>31</v>
      </c>
      <c r="I393" s="95"/>
      <c r="J393" s="95" t="s">
        <v>116</v>
      </c>
      <c r="K393" s="95" t="b">
        <v>1</v>
      </c>
      <c r="L393" s="95">
        <v>10</v>
      </c>
      <c r="M393" s="96">
        <v>2035</v>
      </c>
      <c r="N393" s="97">
        <v>18908473</v>
      </c>
      <c r="O393" s="98">
        <v>46020</v>
      </c>
      <c r="P393" s="98">
        <v>46020</v>
      </c>
      <c r="Q393" s="99">
        <v>0</v>
      </c>
    </row>
    <row r="394" spans="1:17">
      <c r="A394" s="7">
        <v>2025</v>
      </c>
      <c r="B394" s="8" t="s">
        <v>434</v>
      </c>
      <c r="C394" s="94" t="s">
        <v>435</v>
      </c>
      <c r="D394" s="95">
        <v>3215062</v>
      </c>
      <c r="E394" s="95">
        <v>2</v>
      </c>
      <c r="F394" s="95"/>
      <c r="G394" s="95">
        <v>11500</v>
      </c>
      <c r="H394" s="95" t="s">
        <v>31</v>
      </c>
      <c r="I394" s="95"/>
      <c r="J394" s="95" t="s">
        <v>116</v>
      </c>
      <c r="K394" s="95" t="b">
        <v>1</v>
      </c>
      <c r="L394" s="95">
        <v>0</v>
      </c>
      <c r="M394" s="96">
        <v>2025</v>
      </c>
      <c r="N394" s="97">
        <v>15241693.859999999</v>
      </c>
      <c r="O394" s="98">
        <v>46020</v>
      </c>
      <c r="P394" s="98">
        <v>46020</v>
      </c>
      <c r="Q394" s="99">
        <v>0</v>
      </c>
    </row>
    <row r="395" spans="1:17">
      <c r="A395" s="7">
        <v>2025</v>
      </c>
      <c r="B395" s="8" t="s">
        <v>434</v>
      </c>
      <c r="C395" s="94" t="s">
        <v>435</v>
      </c>
      <c r="D395" s="95">
        <v>3215062</v>
      </c>
      <c r="E395" s="95">
        <v>2</v>
      </c>
      <c r="F395" s="95"/>
      <c r="G395" s="95">
        <v>11500</v>
      </c>
      <c r="H395" s="95" t="s">
        <v>31</v>
      </c>
      <c r="I395" s="95"/>
      <c r="J395" s="95" t="s">
        <v>116</v>
      </c>
      <c r="K395" s="95" t="b">
        <v>1</v>
      </c>
      <c r="L395" s="95">
        <v>3</v>
      </c>
      <c r="M395" s="96">
        <v>2028</v>
      </c>
      <c r="N395" s="97">
        <v>15890626</v>
      </c>
      <c r="O395" s="98">
        <v>46020</v>
      </c>
      <c r="P395" s="98">
        <v>46020</v>
      </c>
      <c r="Q395" s="99">
        <v>0</v>
      </c>
    </row>
    <row r="396" spans="1:17">
      <c r="A396" s="7">
        <v>2025</v>
      </c>
      <c r="B396" s="8" t="s">
        <v>434</v>
      </c>
      <c r="C396" s="94" t="s">
        <v>435</v>
      </c>
      <c r="D396" s="95">
        <v>3215062</v>
      </c>
      <c r="E396" s="95">
        <v>2</v>
      </c>
      <c r="F396" s="95"/>
      <c r="G396" s="95">
        <v>11500</v>
      </c>
      <c r="H396" s="95" t="s">
        <v>31</v>
      </c>
      <c r="I396" s="95"/>
      <c r="J396" s="95" t="s">
        <v>116</v>
      </c>
      <c r="K396" s="95" t="b">
        <v>1</v>
      </c>
      <c r="L396" s="95">
        <v>1</v>
      </c>
      <c r="M396" s="96">
        <v>2026</v>
      </c>
      <c r="N396" s="97">
        <v>16157200</v>
      </c>
      <c r="O396" s="98">
        <v>46020</v>
      </c>
      <c r="P396" s="98">
        <v>46020</v>
      </c>
      <c r="Q396" s="99">
        <v>0</v>
      </c>
    </row>
    <row r="397" spans="1:17">
      <c r="A397" s="7">
        <v>2025</v>
      </c>
      <c r="B397" s="8" t="s">
        <v>434</v>
      </c>
      <c r="C397" s="94" t="s">
        <v>435</v>
      </c>
      <c r="D397" s="95">
        <v>3215062</v>
      </c>
      <c r="E397" s="95">
        <v>2</v>
      </c>
      <c r="F397" s="95"/>
      <c r="G397" s="95">
        <v>11500</v>
      </c>
      <c r="H397" s="95" t="s">
        <v>31</v>
      </c>
      <c r="I397" s="95"/>
      <c r="J397" s="95" t="s">
        <v>116</v>
      </c>
      <c r="K397" s="95" t="b">
        <v>1</v>
      </c>
      <c r="L397" s="95">
        <v>13</v>
      </c>
      <c r="M397" s="96">
        <v>2038</v>
      </c>
      <c r="N397" s="97">
        <v>20161895</v>
      </c>
      <c r="O397" s="98">
        <v>46020</v>
      </c>
      <c r="P397" s="98">
        <v>46020</v>
      </c>
      <c r="Q397" s="99">
        <v>0</v>
      </c>
    </row>
    <row r="398" spans="1:17">
      <c r="A398" s="7">
        <v>2025</v>
      </c>
      <c r="B398" s="8" t="s">
        <v>434</v>
      </c>
      <c r="C398" s="94" t="s">
        <v>435</v>
      </c>
      <c r="D398" s="95">
        <v>3215062</v>
      </c>
      <c r="E398" s="95">
        <v>2</v>
      </c>
      <c r="F398" s="95"/>
      <c r="G398" s="95">
        <v>11500</v>
      </c>
      <c r="H398" s="95" t="s">
        <v>31</v>
      </c>
      <c r="I398" s="95"/>
      <c r="J398" s="95" t="s">
        <v>116</v>
      </c>
      <c r="K398" s="95" t="b">
        <v>1</v>
      </c>
      <c r="L398" s="95">
        <v>5</v>
      </c>
      <c r="M398" s="96">
        <v>2030</v>
      </c>
      <c r="N398" s="97">
        <v>16733956</v>
      </c>
      <c r="O398" s="98">
        <v>46020</v>
      </c>
      <c r="P398" s="98">
        <v>46020</v>
      </c>
      <c r="Q398" s="99">
        <v>0</v>
      </c>
    </row>
    <row r="399" spans="1:17">
      <c r="A399" s="7">
        <v>2025</v>
      </c>
      <c r="B399" s="8" t="s">
        <v>434</v>
      </c>
      <c r="C399" s="94" t="s">
        <v>435</v>
      </c>
      <c r="D399" s="95">
        <v>3215062</v>
      </c>
      <c r="E399" s="95">
        <v>2</v>
      </c>
      <c r="F399" s="95"/>
      <c r="G399" s="95">
        <v>11500</v>
      </c>
      <c r="H399" s="95" t="s">
        <v>31</v>
      </c>
      <c r="I399" s="95"/>
      <c r="J399" s="95" t="s">
        <v>116</v>
      </c>
      <c r="K399" s="95" t="b">
        <v>1</v>
      </c>
      <c r="L399" s="95">
        <v>7</v>
      </c>
      <c r="M399" s="96">
        <v>2032</v>
      </c>
      <c r="N399" s="97">
        <v>17571689</v>
      </c>
      <c r="O399" s="98">
        <v>46020</v>
      </c>
      <c r="P399" s="98">
        <v>46020</v>
      </c>
      <c r="Q399" s="99">
        <v>0</v>
      </c>
    </row>
    <row r="400" spans="1:17">
      <c r="A400" s="7">
        <v>2025</v>
      </c>
      <c r="B400" s="8" t="s">
        <v>434</v>
      </c>
      <c r="C400" s="94" t="s">
        <v>435</v>
      </c>
      <c r="D400" s="95">
        <v>3215062</v>
      </c>
      <c r="E400" s="95">
        <v>2</v>
      </c>
      <c r="F400" s="95"/>
      <c r="G400" s="95">
        <v>21210</v>
      </c>
      <c r="H400" s="95" t="s">
        <v>197</v>
      </c>
      <c r="I400" s="95"/>
      <c r="J400" s="95" t="s">
        <v>124</v>
      </c>
      <c r="K400" s="95" t="b">
        <v>1</v>
      </c>
      <c r="L400" s="95">
        <v>2</v>
      </c>
      <c r="M400" s="96">
        <v>2027</v>
      </c>
      <c r="N400" s="97">
        <v>0</v>
      </c>
      <c r="O400" s="98">
        <v>46020</v>
      </c>
      <c r="P400" s="98">
        <v>46020</v>
      </c>
      <c r="Q400" s="99">
        <v>0</v>
      </c>
    </row>
    <row r="401" spans="1:17">
      <c r="A401" s="7">
        <v>2025</v>
      </c>
      <c r="B401" s="8" t="s">
        <v>434</v>
      </c>
      <c r="C401" s="94" t="s">
        <v>435</v>
      </c>
      <c r="D401" s="95">
        <v>3215062</v>
      </c>
      <c r="E401" s="95">
        <v>2</v>
      </c>
      <c r="F401" s="95"/>
      <c r="G401" s="95">
        <v>21210</v>
      </c>
      <c r="H401" s="95" t="s">
        <v>197</v>
      </c>
      <c r="I401" s="95"/>
      <c r="J401" s="95" t="s">
        <v>124</v>
      </c>
      <c r="K401" s="95" t="b">
        <v>1</v>
      </c>
      <c r="L401" s="95">
        <v>10</v>
      </c>
      <c r="M401" s="96">
        <v>2035</v>
      </c>
      <c r="N401" s="97">
        <v>0</v>
      </c>
      <c r="O401" s="98">
        <v>46020</v>
      </c>
      <c r="P401" s="98">
        <v>46020</v>
      </c>
      <c r="Q401" s="99">
        <v>0</v>
      </c>
    </row>
    <row r="402" spans="1:17">
      <c r="A402" s="7">
        <v>2025</v>
      </c>
      <c r="B402" s="8" t="s">
        <v>434</v>
      </c>
      <c r="C402" s="94" t="s">
        <v>435</v>
      </c>
      <c r="D402" s="95">
        <v>3215062</v>
      </c>
      <c r="E402" s="95">
        <v>2</v>
      </c>
      <c r="F402" s="95"/>
      <c r="G402" s="95">
        <v>21210</v>
      </c>
      <c r="H402" s="95" t="s">
        <v>197</v>
      </c>
      <c r="I402" s="95"/>
      <c r="J402" s="95" t="s">
        <v>124</v>
      </c>
      <c r="K402" s="95" t="b">
        <v>1</v>
      </c>
      <c r="L402" s="95">
        <v>1</v>
      </c>
      <c r="M402" s="96">
        <v>2026</v>
      </c>
      <c r="N402" s="97">
        <v>0</v>
      </c>
      <c r="O402" s="98">
        <v>46020</v>
      </c>
      <c r="P402" s="98">
        <v>46020</v>
      </c>
      <c r="Q402" s="99">
        <v>0</v>
      </c>
    </row>
    <row r="403" spans="1:17">
      <c r="A403" s="7">
        <v>2025</v>
      </c>
      <c r="B403" s="8" t="s">
        <v>434</v>
      </c>
      <c r="C403" s="94" t="s">
        <v>435</v>
      </c>
      <c r="D403" s="95">
        <v>3215062</v>
      </c>
      <c r="E403" s="95">
        <v>2</v>
      </c>
      <c r="F403" s="95"/>
      <c r="G403" s="95">
        <v>21210</v>
      </c>
      <c r="H403" s="95" t="s">
        <v>197</v>
      </c>
      <c r="I403" s="95"/>
      <c r="J403" s="95" t="s">
        <v>124</v>
      </c>
      <c r="K403" s="95" t="b">
        <v>1</v>
      </c>
      <c r="L403" s="95">
        <v>12</v>
      </c>
      <c r="M403" s="96">
        <v>2037</v>
      </c>
      <c r="N403" s="97">
        <v>0</v>
      </c>
      <c r="O403" s="98">
        <v>46020</v>
      </c>
      <c r="P403" s="98">
        <v>46020</v>
      </c>
      <c r="Q403" s="99">
        <v>0</v>
      </c>
    </row>
    <row r="404" spans="1:17">
      <c r="A404" s="7">
        <v>2025</v>
      </c>
      <c r="B404" s="8" t="s">
        <v>434</v>
      </c>
      <c r="C404" s="94" t="s">
        <v>435</v>
      </c>
      <c r="D404" s="95">
        <v>3215062</v>
      </c>
      <c r="E404" s="95">
        <v>2</v>
      </c>
      <c r="F404" s="95"/>
      <c r="G404" s="95">
        <v>21210</v>
      </c>
      <c r="H404" s="95" t="s">
        <v>197</v>
      </c>
      <c r="I404" s="95"/>
      <c r="J404" s="95" t="s">
        <v>124</v>
      </c>
      <c r="K404" s="95" t="b">
        <v>1</v>
      </c>
      <c r="L404" s="95">
        <v>7</v>
      </c>
      <c r="M404" s="96">
        <v>2032</v>
      </c>
      <c r="N404" s="97">
        <v>0</v>
      </c>
      <c r="O404" s="98">
        <v>46020</v>
      </c>
      <c r="P404" s="98">
        <v>46020</v>
      </c>
      <c r="Q404" s="99">
        <v>0</v>
      </c>
    </row>
    <row r="405" spans="1:17">
      <c r="A405" s="7">
        <v>2025</v>
      </c>
      <c r="B405" s="8" t="s">
        <v>434</v>
      </c>
      <c r="C405" s="94" t="s">
        <v>435</v>
      </c>
      <c r="D405" s="95">
        <v>3215062</v>
      </c>
      <c r="E405" s="95">
        <v>2</v>
      </c>
      <c r="F405" s="95"/>
      <c r="G405" s="95">
        <v>21210</v>
      </c>
      <c r="H405" s="95" t="s">
        <v>197</v>
      </c>
      <c r="I405" s="95"/>
      <c r="J405" s="95" t="s">
        <v>124</v>
      </c>
      <c r="K405" s="95" t="b">
        <v>1</v>
      </c>
      <c r="L405" s="95">
        <v>0</v>
      </c>
      <c r="M405" s="96">
        <v>2025</v>
      </c>
      <c r="N405" s="97">
        <v>0</v>
      </c>
      <c r="O405" s="98">
        <v>46020</v>
      </c>
      <c r="P405" s="98">
        <v>46020</v>
      </c>
      <c r="Q405" s="99">
        <v>0</v>
      </c>
    </row>
    <row r="406" spans="1:17">
      <c r="A406" s="7">
        <v>2025</v>
      </c>
      <c r="B406" s="8" t="s">
        <v>434</v>
      </c>
      <c r="C406" s="94" t="s">
        <v>435</v>
      </c>
      <c r="D406" s="95">
        <v>3215062</v>
      </c>
      <c r="E406" s="95">
        <v>2</v>
      </c>
      <c r="F406" s="95"/>
      <c r="G406" s="95">
        <v>21210</v>
      </c>
      <c r="H406" s="95" t="s">
        <v>197</v>
      </c>
      <c r="I406" s="95"/>
      <c r="J406" s="95" t="s">
        <v>124</v>
      </c>
      <c r="K406" s="95" t="b">
        <v>1</v>
      </c>
      <c r="L406" s="95">
        <v>9</v>
      </c>
      <c r="M406" s="96">
        <v>2034</v>
      </c>
      <c r="N406" s="97">
        <v>0</v>
      </c>
      <c r="O406" s="98">
        <v>46020</v>
      </c>
      <c r="P406" s="98">
        <v>46020</v>
      </c>
      <c r="Q406" s="99">
        <v>0</v>
      </c>
    </row>
    <row r="407" spans="1:17">
      <c r="A407" s="7">
        <v>2025</v>
      </c>
      <c r="B407" s="8" t="s">
        <v>434</v>
      </c>
      <c r="C407" s="94" t="s">
        <v>435</v>
      </c>
      <c r="D407" s="95">
        <v>3215062</v>
      </c>
      <c r="E407" s="95">
        <v>2</v>
      </c>
      <c r="F407" s="95"/>
      <c r="G407" s="95">
        <v>21210</v>
      </c>
      <c r="H407" s="95" t="s">
        <v>197</v>
      </c>
      <c r="I407" s="95"/>
      <c r="J407" s="95" t="s">
        <v>124</v>
      </c>
      <c r="K407" s="95" t="b">
        <v>1</v>
      </c>
      <c r="L407" s="95">
        <v>11</v>
      </c>
      <c r="M407" s="96">
        <v>2036</v>
      </c>
      <c r="N407" s="97">
        <v>0</v>
      </c>
      <c r="O407" s="98">
        <v>46020</v>
      </c>
      <c r="P407" s="98">
        <v>46020</v>
      </c>
      <c r="Q407" s="99">
        <v>0</v>
      </c>
    </row>
    <row r="408" spans="1:17">
      <c r="A408" s="7">
        <v>2025</v>
      </c>
      <c r="B408" s="8" t="s">
        <v>434</v>
      </c>
      <c r="C408" s="94" t="s">
        <v>435</v>
      </c>
      <c r="D408" s="95">
        <v>3215062</v>
      </c>
      <c r="E408" s="95">
        <v>2</v>
      </c>
      <c r="F408" s="95"/>
      <c r="G408" s="95">
        <v>21210</v>
      </c>
      <c r="H408" s="95" t="s">
        <v>197</v>
      </c>
      <c r="I408" s="95"/>
      <c r="J408" s="95" t="s">
        <v>124</v>
      </c>
      <c r="K408" s="95" t="b">
        <v>1</v>
      </c>
      <c r="L408" s="95">
        <v>6</v>
      </c>
      <c r="M408" s="96">
        <v>2031</v>
      </c>
      <c r="N408" s="97">
        <v>0</v>
      </c>
      <c r="O408" s="98">
        <v>46020</v>
      </c>
      <c r="P408" s="98">
        <v>46020</v>
      </c>
      <c r="Q408" s="99">
        <v>0</v>
      </c>
    </row>
    <row r="409" spans="1:17">
      <c r="A409" s="7">
        <v>2025</v>
      </c>
      <c r="B409" s="8" t="s">
        <v>434</v>
      </c>
      <c r="C409" s="94" t="s">
        <v>435</v>
      </c>
      <c r="D409" s="95">
        <v>3215062</v>
      </c>
      <c r="E409" s="95">
        <v>2</v>
      </c>
      <c r="F409" s="95"/>
      <c r="G409" s="95">
        <v>21210</v>
      </c>
      <c r="H409" s="95" t="s">
        <v>197</v>
      </c>
      <c r="I409" s="95"/>
      <c r="J409" s="95" t="s">
        <v>124</v>
      </c>
      <c r="K409" s="95" t="b">
        <v>1</v>
      </c>
      <c r="L409" s="95">
        <v>3</v>
      </c>
      <c r="M409" s="96">
        <v>2028</v>
      </c>
      <c r="N409" s="97">
        <v>0</v>
      </c>
      <c r="O409" s="98">
        <v>46020</v>
      </c>
      <c r="P409" s="98">
        <v>46020</v>
      </c>
      <c r="Q409" s="99">
        <v>0</v>
      </c>
    </row>
    <row r="410" spans="1:17">
      <c r="A410" s="7">
        <v>2025</v>
      </c>
      <c r="B410" s="8" t="s">
        <v>434</v>
      </c>
      <c r="C410" s="94" t="s">
        <v>435</v>
      </c>
      <c r="D410" s="95">
        <v>3215062</v>
      </c>
      <c r="E410" s="95">
        <v>2</v>
      </c>
      <c r="F410" s="95"/>
      <c r="G410" s="95">
        <v>21210</v>
      </c>
      <c r="H410" s="95" t="s">
        <v>197</v>
      </c>
      <c r="I410" s="95"/>
      <c r="J410" s="95" t="s">
        <v>124</v>
      </c>
      <c r="K410" s="95" t="b">
        <v>1</v>
      </c>
      <c r="L410" s="95">
        <v>8</v>
      </c>
      <c r="M410" s="96">
        <v>2033</v>
      </c>
      <c r="N410" s="97">
        <v>0</v>
      </c>
      <c r="O410" s="98">
        <v>46020</v>
      </c>
      <c r="P410" s="98">
        <v>46020</v>
      </c>
      <c r="Q410" s="99">
        <v>0</v>
      </c>
    </row>
    <row r="411" spans="1:17">
      <c r="A411" s="7">
        <v>2025</v>
      </c>
      <c r="B411" s="8" t="s">
        <v>434</v>
      </c>
      <c r="C411" s="94" t="s">
        <v>435</v>
      </c>
      <c r="D411" s="95">
        <v>3215062</v>
      </c>
      <c r="E411" s="95">
        <v>2</v>
      </c>
      <c r="F411" s="95"/>
      <c r="G411" s="95">
        <v>21210</v>
      </c>
      <c r="H411" s="95" t="s">
        <v>197</v>
      </c>
      <c r="I411" s="95"/>
      <c r="J411" s="95" t="s">
        <v>124</v>
      </c>
      <c r="K411" s="95" t="b">
        <v>1</v>
      </c>
      <c r="L411" s="95">
        <v>13</v>
      </c>
      <c r="M411" s="96">
        <v>2038</v>
      </c>
      <c r="N411" s="97">
        <v>0</v>
      </c>
      <c r="O411" s="98">
        <v>46020</v>
      </c>
      <c r="P411" s="98">
        <v>46020</v>
      </c>
      <c r="Q411" s="99">
        <v>0</v>
      </c>
    </row>
    <row r="412" spans="1:17">
      <c r="A412" s="7">
        <v>2025</v>
      </c>
      <c r="B412" s="8" t="s">
        <v>434</v>
      </c>
      <c r="C412" s="94" t="s">
        <v>435</v>
      </c>
      <c r="D412" s="95">
        <v>3215062</v>
      </c>
      <c r="E412" s="95">
        <v>2</v>
      </c>
      <c r="F412" s="95"/>
      <c r="G412" s="95">
        <v>21210</v>
      </c>
      <c r="H412" s="95" t="s">
        <v>197</v>
      </c>
      <c r="I412" s="95"/>
      <c r="J412" s="95" t="s">
        <v>124</v>
      </c>
      <c r="K412" s="95" t="b">
        <v>1</v>
      </c>
      <c r="L412" s="95">
        <v>5</v>
      </c>
      <c r="M412" s="96">
        <v>2030</v>
      </c>
      <c r="N412" s="97">
        <v>0</v>
      </c>
      <c r="O412" s="98">
        <v>46020</v>
      </c>
      <c r="P412" s="98">
        <v>46020</v>
      </c>
      <c r="Q412" s="99">
        <v>0</v>
      </c>
    </row>
    <row r="413" spans="1:17">
      <c r="A413" s="7">
        <v>2025</v>
      </c>
      <c r="B413" s="8" t="s">
        <v>434</v>
      </c>
      <c r="C413" s="94" t="s">
        <v>435</v>
      </c>
      <c r="D413" s="95">
        <v>3215062</v>
      </c>
      <c r="E413" s="95">
        <v>2</v>
      </c>
      <c r="F413" s="95"/>
      <c r="G413" s="95">
        <v>60000</v>
      </c>
      <c r="H413" s="95">
        <v>6</v>
      </c>
      <c r="I413" s="95"/>
      <c r="J413" s="95" t="s">
        <v>148</v>
      </c>
      <c r="K413" s="95" t="b">
        <v>1</v>
      </c>
      <c r="L413" s="95">
        <v>3</v>
      </c>
      <c r="M413" s="96">
        <v>2028</v>
      </c>
      <c r="N413" s="97">
        <v>1915139.71</v>
      </c>
      <c r="O413" s="98">
        <v>46020</v>
      </c>
      <c r="P413" s="98">
        <v>46020</v>
      </c>
      <c r="Q413" s="99">
        <v>0</v>
      </c>
    </row>
    <row r="414" spans="1:17">
      <c r="A414" s="7">
        <v>2025</v>
      </c>
      <c r="B414" s="8" t="s">
        <v>434</v>
      </c>
      <c r="C414" s="94" t="s">
        <v>435</v>
      </c>
      <c r="D414" s="95">
        <v>3215062</v>
      </c>
      <c r="E414" s="95">
        <v>2</v>
      </c>
      <c r="F414" s="95"/>
      <c r="G414" s="95">
        <v>60000</v>
      </c>
      <c r="H414" s="95">
        <v>6</v>
      </c>
      <c r="I414" s="95"/>
      <c r="J414" s="95" t="s">
        <v>148</v>
      </c>
      <c r="K414" s="95" t="b">
        <v>1</v>
      </c>
      <c r="L414" s="95">
        <v>6</v>
      </c>
      <c r="M414" s="96">
        <v>2031</v>
      </c>
      <c r="N414" s="97">
        <v>990068.4</v>
      </c>
      <c r="O414" s="98">
        <v>46020</v>
      </c>
      <c r="P414" s="98">
        <v>46020</v>
      </c>
      <c r="Q414" s="99">
        <v>0</v>
      </c>
    </row>
    <row r="415" spans="1:17">
      <c r="A415" s="7">
        <v>2025</v>
      </c>
      <c r="B415" s="8" t="s">
        <v>434</v>
      </c>
      <c r="C415" s="94" t="s">
        <v>435</v>
      </c>
      <c r="D415" s="95">
        <v>3215062</v>
      </c>
      <c r="E415" s="95">
        <v>2</v>
      </c>
      <c r="F415" s="95"/>
      <c r="G415" s="95">
        <v>60000</v>
      </c>
      <c r="H415" s="95">
        <v>6</v>
      </c>
      <c r="I415" s="95"/>
      <c r="J415" s="95" t="s">
        <v>148</v>
      </c>
      <c r="K415" s="95" t="b">
        <v>1</v>
      </c>
      <c r="L415" s="95">
        <v>2</v>
      </c>
      <c r="M415" s="96">
        <v>2027</v>
      </c>
      <c r="N415" s="97">
        <v>2547732.91</v>
      </c>
      <c r="O415" s="98">
        <v>46020</v>
      </c>
      <c r="P415" s="98">
        <v>46020</v>
      </c>
      <c r="Q415" s="99">
        <v>0</v>
      </c>
    </row>
    <row r="416" spans="1:17">
      <c r="A416" s="7">
        <v>2025</v>
      </c>
      <c r="B416" s="8" t="s">
        <v>434</v>
      </c>
      <c r="C416" s="94" t="s">
        <v>435</v>
      </c>
      <c r="D416" s="95">
        <v>3215062</v>
      </c>
      <c r="E416" s="95">
        <v>2</v>
      </c>
      <c r="F416" s="95"/>
      <c r="G416" s="95">
        <v>60000</v>
      </c>
      <c r="H416" s="95">
        <v>6</v>
      </c>
      <c r="I416" s="95"/>
      <c r="J416" s="95" t="s">
        <v>148</v>
      </c>
      <c r="K416" s="95" t="b">
        <v>1</v>
      </c>
      <c r="L416" s="95">
        <v>12</v>
      </c>
      <c r="M416" s="96">
        <v>2037</v>
      </c>
      <c r="N416" s="97">
        <v>74266</v>
      </c>
      <c r="O416" s="98">
        <v>46020</v>
      </c>
      <c r="P416" s="98">
        <v>46020</v>
      </c>
      <c r="Q416" s="99">
        <v>0</v>
      </c>
    </row>
    <row r="417" spans="1:17">
      <c r="A417" s="7">
        <v>2025</v>
      </c>
      <c r="B417" s="8" t="s">
        <v>434</v>
      </c>
      <c r="C417" s="94" t="s">
        <v>435</v>
      </c>
      <c r="D417" s="95">
        <v>3215062</v>
      </c>
      <c r="E417" s="95">
        <v>2</v>
      </c>
      <c r="F417" s="95"/>
      <c r="G417" s="95">
        <v>60000</v>
      </c>
      <c r="H417" s="95">
        <v>6</v>
      </c>
      <c r="I417" s="95"/>
      <c r="J417" s="95" t="s">
        <v>148</v>
      </c>
      <c r="K417" s="95" t="b">
        <v>1</v>
      </c>
      <c r="L417" s="95">
        <v>0</v>
      </c>
      <c r="M417" s="96">
        <v>2025</v>
      </c>
      <c r="N417" s="97">
        <v>4154809.45</v>
      </c>
      <c r="O417" s="98">
        <v>46020</v>
      </c>
      <c r="P417" s="98">
        <v>46020</v>
      </c>
      <c r="Q417" s="99">
        <v>0</v>
      </c>
    </row>
    <row r="418" spans="1:17">
      <c r="A418" s="7">
        <v>2025</v>
      </c>
      <c r="B418" s="8" t="s">
        <v>434</v>
      </c>
      <c r="C418" s="94" t="s">
        <v>435</v>
      </c>
      <c r="D418" s="95">
        <v>3215062</v>
      </c>
      <c r="E418" s="95">
        <v>2</v>
      </c>
      <c r="F418" s="95"/>
      <c r="G418" s="95">
        <v>60000</v>
      </c>
      <c r="H418" s="95">
        <v>6</v>
      </c>
      <c r="I418" s="95"/>
      <c r="J418" s="95" t="s">
        <v>148</v>
      </c>
      <c r="K418" s="95" t="b">
        <v>1</v>
      </c>
      <c r="L418" s="95">
        <v>4</v>
      </c>
      <c r="M418" s="96">
        <v>2029</v>
      </c>
      <c r="N418" s="97">
        <v>1373703.6</v>
      </c>
      <c r="O418" s="98">
        <v>46020</v>
      </c>
      <c r="P418" s="98">
        <v>46020</v>
      </c>
      <c r="Q418" s="99">
        <v>0</v>
      </c>
    </row>
    <row r="419" spans="1:17">
      <c r="A419" s="7">
        <v>2025</v>
      </c>
      <c r="B419" s="8" t="s">
        <v>434</v>
      </c>
      <c r="C419" s="94" t="s">
        <v>435</v>
      </c>
      <c r="D419" s="95">
        <v>3215062</v>
      </c>
      <c r="E419" s="95">
        <v>2</v>
      </c>
      <c r="F419" s="95"/>
      <c r="G419" s="95">
        <v>60000</v>
      </c>
      <c r="H419" s="95">
        <v>6</v>
      </c>
      <c r="I419" s="95"/>
      <c r="J419" s="95" t="s">
        <v>148</v>
      </c>
      <c r="K419" s="95" t="b">
        <v>1</v>
      </c>
      <c r="L419" s="95">
        <v>8</v>
      </c>
      <c r="M419" s="96">
        <v>2033</v>
      </c>
      <c r="N419" s="97">
        <v>606433.19999999995</v>
      </c>
      <c r="O419" s="98">
        <v>46020</v>
      </c>
      <c r="P419" s="98">
        <v>46020</v>
      </c>
      <c r="Q419" s="99">
        <v>0</v>
      </c>
    </row>
    <row r="420" spans="1:17">
      <c r="A420" s="7">
        <v>2025</v>
      </c>
      <c r="B420" s="8" t="s">
        <v>434</v>
      </c>
      <c r="C420" s="94" t="s">
        <v>435</v>
      </c>
      <c r="D420" s="95">
        <v>3215062</v>
      </c>
      <c r="E420" s="95">
        <v>2</v>
      </c>
      <c r="F420" s="95"/>
      <c r="G420" s="95">
        <v>60000</v>
      </c>
      <c r="H420" s="95">
        <v>6</v>
      </c>
      <c r="I420" s="95"/>
      <c r="J420" s="95" t="s">
        <v>148</v>
      </c>
      <c r="K420" s="95" t="b">
        <v>1</v>
      </c>
      <c r="L420" s="95">
        <v>11</v>
      </c>
      <c r="M420" s="96">
        <v>2036</v>
      </c>
      <c r="N420" s="97">
        <v>148532</v>
      </c>
      <c r="O420" s="98">
        <v>46020</v>
      </c>
      <c r="P420" s="98">
        <v>46020</v>
      </c>
      <c r="Q420" s="99">
        <v>0</v>
      </c>
    </row>
    <row r="421" spans="1:17">
      <c r="A421" s="7">
        <v>2025</v>
      </c>
      <c r="B421" s="8" t="s">
        <v>434</v>
      </c>
      <c r="C421" s="94" t="s">
        <v>435</v>
      </c>
      <c r="D421" s="95">
        <v>3215062</v>
      </c>
      <c r="E421" s="95">
        <v>2</v>
      </c>
      <c r="F421" s="95"/>
      <c r="G421" s="95">
        <v>60000</v>
      </c>
      <c r="H421" s="95">
        <v>6</v>
      </c>
      <c r="I421" s="95"/>
      <c r="J421" s="95" t="s">
        <v>148</v>
      </c>
      <c r="K421" s="95" t="b">
        <v>1</v>
      </c>
      <c r="L421" s="95">
        <v>5</v>
      </c>
      <c r="M421" s="96">
        <v>2030</v>
      </c>
      <c r="N421" s="97">
        <v>1181886</v>
      </c>
      <c r="O421" s="98">
        <v>46020</v>
      </c>
      <c r="P421" s="98">
        <v>46020</v>
      </c>
      <c r="Q421" s="99">
        <v>0</v>
      </c>
    </row>
    <row r="422" spans="1:17">
      <c r="A422" s="7">
        <v>2025</v>
      </c>
      <c r="B422" s="8" t="s">
        <v>434</v>
      </c>
      <c r="C422" s="94" t="s">
        <v>435</v>
      </c>
      <c r="D422" s="95">
        <v>3215062</v>
      </c>
      <c r="E422" s="95">
        <v>2</v>
      </c>
      <c r="F422" s="95"/>
      <c r="G422" s="95">
        <v>60000</v>
      </c>
      <c r="H422" s="95">
        <v>6</v>
      </c>
      <c r="I422" s="95"/>
      <c r="J422" s="95" t="s">
        <v>148</v>
      </c>
      <c r="K422" s="95" t="b">
        <v>1</v>
      </c>
      <c r="L422" s="95">
        <v>13</v>
      </c>
      <c r="M422" s="96">
        <v>2038</v>
      </c>
      <c r="N422" s="97">
        <v>0</v>
      </c>
      <c r="O422" s="98">
        <v>46020</v>
      </c>
      <c r="P422" s="98">
        <v>46020</v>
      </c>
      <c r="Q422" s="99">
        <v>0</v>
      </c>
    </row>
    <row r="423" spans="1:17">
      <c r="A423" s="7">
        <v>2025</v>
      </c>
      <c r="B423" s="8" t="s">
        <v>434</v>
      </c>
      <c r="C423" s="94" t="s">
        <v>435</v>
      </c>
      <c r="D423" s="95">
        <v>3215062</v>
      </c>
      <c r="E423" s="95">
        <v>2</v>
      </c>
      <c r="F423" s="95"/>
      <c r="G423" s="95">
        <v>60000</v>
      </c>
      <c r="H423" s="95">
        <v>6</v>
      </c>
      <c r="I423" s="95"/>
      <c r="J423" s="95" t="s">
        <v>148</v>
      </c>
      <c r="K423" s="95" t="b">
        <v>1</v>
      </c>
      <c r="L423" s="95">
        <v>7</v>
      </c>
      <c r="M423" s="96">
        <v>2032</v>
      </c>
      <c r="N423" s="97">
        <v>798250.8</v>
      </c>
      <c r="O423" s="98">
        <v>46020</v>
      </c>
      <c r="P423" s="98">
        <v>46020</v>
      </c>
      <c r="Q423" s="99">
        <v>0</v>
      </c>
    </row>
    <row r="424" spans="1:17">
      <c r="A424" s="7">
        <v>2025</v>
      </c>
      <c r="B424" s="8" t="s">
        <v>434</v>
      </c>
      <c r="C424" s="94" t="s">
        <v>435</v>
      </c>
      <c r="D424" s="95">
        <v>3215062</v>
      </c>
      <c r="E424" s="95">
        <v>2</v>
      </c>
      <c r="F424" s="95"/>
      <c r="G424" s="95">
        <v>60000</v>
      </c>
      <c r="H424" s="95">
        <v>6</v>
      </c>
      <c r="I424" s="95"/>
      <c r="J424" s="95" t="s">
        <v>148</v>
      </c>
      <c r="K424" s="95" t="b">
        <v>1</v>
      </c>
      <c r="L424" s="95">
        <v>10</v>
      </c>
      <c r="M424" s="96">
        <v>2035</v>
      </c>
      <c r="N424" s="97">
        <v>222798</v>
      </c>
      <c r="O424" s="98">
        <v>46020</v>
      </c>
      <c r="P424" s="98">
        <v>46020</v>
      </c>
      <c r="Q424" s="99">
        <v>0</v>
      </c>
    </row>
    <row r="425" spans="1:17">
      <c r="A425" s="7">
        <v>2025</v>
      </c>
      <c r="B425" s="8" t="s">
        <v>434</v>
      </c>
      <c r="C425" s="94" t="s">
        <v>435</v>
      </c>
      <c r="D425" s="95">
        <v>3215062</v>
      </c>
      <c r="E425" s="95">
        <v>2</v>
      </c>
      <c r="F425" s="95"/>
      <c r="G425" s="95">
        <v>60000</v>
      </c>
      <c r="H425" s="95">
        <v>6</v>
      </c>
      <c r="I425" s="95"/>
      <c r="J425" s="95" t="s">
        <v>148</v>
      </c>
      <c r="K425" s="95" t="b">
        <v>1</v>
      </c>
      <c r="L425" s="95">
        <v>1</v>
      </c>
      <c r="M425" s="96">
        <v>2026</v>
      </c>
      <c r="N425" s="97">
        <v>3351273.85</v>
      </c>
      <c r="O425" s="98">
        <v>46020</v>
      </c>
      <c r="P425" s="98">
        <v>46020</v>
      </c>
      <c r="Q425" s="99">
        <v>0</v>
      </c>
    </row>
    <row r="426" spans="1:17">
      <c r="A426" s="7">
        <v>2025</v>
      </c>
      <c r="B426" s="8" t="s">
        <v>434</v>
      </c>
      <c r="C426" s="94" t="s">
        <v>435</v>
      </c>
      <c r="D426" s="95">
        <v>3215062</v>
      </c>
      <c r="E426" s="95">
        <v>2</v>
      </c>
      <c r="F426" s="95"/>
      <c r="G426" s="95">
        <v>60000</v>
      </c>
      <c r="H426" s="95">
        <v>6</v>
      </c>
      <c r="I426" s="95"/>
      <c r="J426" s="95" t="s">
        <v>148</v>
      </c>
      <c r="K426" s="95" t="b">
        <v>1</v>
      </c>
      <c r="L426" s="95">
        <v>9</v>
      </c>
      <c r="M426" s="96">
        <v>2034</v>
      </c>
      <c r="N426" s="97">
        <v>414615.6</v>
      </c>
      <c r="O426" s="98">
        <v>46020</v>
      </c>
      <c r="P426" s="98">
        <v>46020</v>
      </c>
      <c r="Q426" s="99">
        <v>0</v>
      </c>
    </row>
    <row r="427" spans="1:17">
      <c r="A427" s="7">
        <v>2025</v>
      </c>
      <c r="B427" s="8" t="s">
        <v>434</v>
      </c>
      <c r="C427" s="94" t="s">
        <v>435</v>
      </c>
      <c r="D427" s="95">
        <v>3215062</v>
      </c>
      <c r="E427" s="95">
        <v>2</v>
      </c>
      <c r="F427" s="95"/>
      <c r="G427" s="95">
        <v>105000</v>
      </c>
      <c r="H427" s="95">
        <v>10.5</v>
      </c>
      <c r="I427" s="95"/>
      <c r="J427" s="95" t="s">
        <v>179</v>
      </c>
      <c r="K427" s="95" t="b">
        <v>1</v>
      </c>
      <c r="L427" s="95">
        <v>9</v>
      </c>
      <c r="M427" s="96">
        <v>2034</v>
      </c>
      <c r="N427" s="97">
        <v>0</v>
      </c>
      <c r="O427" s="98">
        <v>46020</v>
      </c>
      <c r="P427" s="98">
        <v>46020</v>
      </c>
      <c r="Q427" s="99">
        <v>0</v>
      </c>
    </row>
    <row r="428" spans="1:17">
      <c r="A428" s="7">
        <v>2025</v>
      </c>
      <c r="B428" s="8" t="s">
        <v>434</v>
      </c>
      <c r="C428" s="94" t="s">
        <v>435</v>
      </c>
      <c r="D428" s="95">
        <v>3215062</v>
      </c>
      <c r="E428" s="95">
        <v>2</v>
      </c>
      <c r="F428" s="95"/>
      <c r="G428" s="95">
        <v>105000</v>
      </c>
      <c r="H428" s="95">
        <v>10.5</v>
      </c>
      <c r="I428" s="95"/>
      <c r="J428" s="95" t="s">
        <v>179</v>
      </c>
      <c r="K428" s="95" t="b">
        <v>1</v>
      </c>
      <c r="L428" s="95">
        <v>12</v>
      </c>
      <c r="M428" s="96">
        <v>2037</v>
      </c>
      <c r="N428" s="97">
        <v>0</v>
      </c>
      <c r="O428" s="98">
        <v>46020</v>
      </c>
      <c r="P428" s="98">
        <v>46020</v>
      </c>
      <c r="Q428" s="99">
        <v>0</v>
      </c>
    </row>
    <row r="429" spans="1:17">
      <c r="A429" s="7">
        <v>2025</v>
      </c>
      <c r="B429" s="8" t="s">
        <v>434</v>
      </c>
      <c r="C429" s="94" t="s">
        <v>435</v>
      </c>
      <c r="D429" s="95">
        <v>3215062</v>
      </c>
      <c r="E429" s="95">
        <v>2</v>
      </c>
      <c r="F429" s="95"/>
      <c r="G429" s="95">
        <v>105000</v>
      </c>
      <c r="H429" s="95">
        <v>10.5</v>
      </c>
      <c r="I429" s="95"/>
      <c r="J429" s="95" t="s">
        <v>179</v>
      </c>
      <c r="K429" s="95" t="b">
        <v>1</v>
      </c>
      <c r="L429" s="95">
        <v>10</v>
      </c>
      <c r="M429" s="96">
        <v>2035</v>
      </c>
      <c r="N429" s="97">
        <v>0</v>
      </c>
      <c r="O429" s="98">
        <v>46020</v>
      </c>
      <c r="P429" s="98">
        <v>46020</v>
      </c>
      <c r="Q429" s="99">
        <v>0</v>
      </c>
    </row>
    <row r="430" spans="1:17">
      <c r="A430" s="7">
        <v>2025</v>
      </c>
      <c r="B430" s="8" t="s">
        <v>434</v>
      </c>
      <c r="C430" s="94" t="s">
        <v>435</v>
      </c>
      <c r="D430" s="95">
        <v>3215062</v>
      </c>
      <c r="E430" s="95">
        <v>2</v>
      </c>
      <c r="F430" s="95"/>
      <c r="G430" s="95">
        <v>105000</v>
      </c>
      <c r="H430" s="95">
        <v>10.5</v>
      </c>
      <c r="I430" s="95"/>
      <c r="J430" s="95" t="s">
        <v>179</v>
      </c>
      <c r="K430" s="95" t="b">
        <v>1</v>
      </c>
      <c r="L430" s="95">
        <v>5</v>
      </c>
      <c r="M430" s="96">
        <v>2030</v>
      </c>
      <c r="N430" s="97">
        <v>0</v>
      </c>
      <c r="O430" s="98">
        <v>46020</v>
      </c>
      <c r="P430" s="98">
        <v>46020</v>
      </c>
      <c r="Q430" s="99">
        <v>0</v>
      </c>
    </row>
    <row r="431" spans="1:17">
      <c r="A431" s="7">
        <v>2025</v>
      </c>
      <c r="B431" s="8" t="s">
        <v>434</v>
      </c>
      <c r="C431" s="94" t="s">
        <v>435</v>
      </c>
      <c r="D431" s="95">
        <v>3215062</v>
      </c>
      <c r="E431" s="95">
        <v>2</v>
      </c>
      <c r="F431" s="95"/>
      <c r="G431" s="95">
        <v>105000</v>
      </c>
      <c r="H431" s="95">
        <v>10.5</v>
      </c>
      <c r="I431" s="95"/>
      <c r="J431" s="95" t="s">
        <v>179</v>
      </c>
      <c r="K431" s="95" t="b">
        <v>1</v>
      </c>
      <c r="L431" s="95">
        <v>0</v>
      </c>
      <c r="M431" s="96">
        <v>2025</v>
      </c>
      <c r="N431" s="97">
        <v>0</v>
      </c>
      <c r="O431" s="98">
        <v>46020</v>
      </c>
      <c r="P431" s="98">
        <v>46020</v>
      </c>
      <c r="Q431" s="99">
        <v>0</v>
      </c>
    </row>
    <row r="432" spans="1:17">
      <c r="A432" s="7">
        <v>2025</v>
      </c>
      <c r="B432" s="8" t="s">
        <v>434</v>
      </c>
      <c r="C432" s="94" t="s">
        <v>435</v>
      </c>
      <c r="D432" s="95">
        <v>3215062</v>
      </c>
      <c r="E432" s="95">
        <v>2</v>
      </c>
      <c r="F432" s="95"/>
      <c r="G432" s="95">
        <v>105000</v>
      </c>
      <c r="H432" s="95">
        <v>10.5</v>
      </c>
      <c r="I432" s="95"/>
      <c r="J432" s="95" t="s">
        <v>179</v>
      </c>
      <c r="K432" s="95" t="b">
        <v>1</v>
      </c>
      <c r="L432" s="95">
        <v>1</v>
      </c>
      <c r="M432" s="96">
        <v>2026</v>
      </c>
      <c r="N432" s="97">
        <v>0</v>
      </c>
      <c r="O432" s="98">
        <v>46020</v>
      </c>
      <c r="P432" s="98">
        <v>46020</v>
      </c>
      <c r="Q432" s="99">
        <v>0</v>
      </c>
    </row>
    <row r="433" spans="1:17">
      <c r="A433" s="7">
        <v>2025</v>
      </c>
      <c r="B433" s="8" t="s">
        <v>434</v>
      </c>
      <c r="C433" s="94" t="s">
        <v>435</v>
      </c>
      <c r="D433" s="95">
        <v>3215062</v>
      </c>
      <c r="E433" s="95">
        <v>2</v>
      </c>
      <c r="F433" s="95"/>
      <c r="G433" s="95">
        <v>105000</v>
      </c>
      <c r="H433" s="95">
        <v>10.5</v>
      </c>
      <c r="I433" s="95"/>
      <c r="J433" s="95" t="s">
        <v>179</v>
      </c>
      <c r="K433" s="95" t="b">
        <v>1</v>
      </c>
      <c r="L433" s="95">
        <v>13</v>
      </c>
      <c r="M433" s="96">
        <v>2038</v>
      </c>
      <c r="N433" s="97">
        <v>0</v>
      </c>
      <c r="O433" s="98">
        <v>46020</v>
      </c>
      <c r="P433" s="98">
        <v>46020</v>
      </c>
      <c r="Q433" s="99">
        <v>0</v>
      </c>
    </row>
    <row r="434" spans="1:17">
      <c r="A434" s="7">
        <v>2025</v>
      </c>
      <c r="B434" s="8" t="s">
        <v>434</v>
      </c>
      <c r="C434" s="94" t="s">
        <v>435</v>
      </c>
      <c r="D434" s="95">
        <v>3215062</v>
      </c>
      <c r="E434" s="95">
        <v>2</v>
      </c>
      <c r="F434" s="95"/>
      <c r="G434" s="95">
        <v>105000</v>
      </c>
      <c r="H434" s="95">
        <v>10.5</v>
      </c>
      <c r="I434" s="95"/>
      <c r="J434" s="95" t="s">
        <v>179</v>
      </c>
      <c r="K434" s="95" t="b">
        <v>1</v>
      </c>
      <c r="L434" s="95">
        <v>8</v>
      </c>
      <c r="M434" s="96">
        <v>2033</v>
      </c>
      <c r="N434" s="97">
        <v>0</v>
      </c>
      <c r="O434" s="98">
        <v>46020</v>
      </c>
      <c r="P434" s="98">
        <v>46020</v>
      </c>
      <c r="Q434" s="99">
        <v>0</v>
      </c>
    </row>
    <row r="435" spans="1:17">
      <c r="A435" s="7">
        <v>2025</v>
      </c>
      <c r="B435" s="8" t="s">
        <v>434</v>
      </c>
      <c r="C435" s="94" t="s">
        <v>435</v>
      </c>
      <c r="D435" s="95">
        <v>3215062</v>
      </c>
      <c r="E435" s="95">
        <v>2</v>
      </c>
      <c r="F435" s="95"/>
      <c r="G435" s="95">
        <v>105000</v>
      </c>
      <c r="H435" s="95">
        <v>10.5</v>
      </c>
      <c r="I435" s="95"/>
      <c r="J435" s="95" t="s">
        <v>179</v>
      </c>
      <c r="K435" s="95" t="b">
        <v>1</v>
      </c>
      <c r="L435" s="95">
        <v>2</v>
      </c>
      <c r="M435" s="96">
        <v>2027</v>
      </c>
      <c r="N435" s="97">
        <v>0</v>
      </c>
      <c r="O435" s="98">
        <v>46020</v>
      </c>
      <c r="P435" s="98">
        <v>46020</v>
      </c>
      <c r="Q435" s="99">
        <v>0</v>
      </c>
    </row>
    <row r="436" spans="1:17">
      <c r="A436" s="7">
        <v>2025</v>
      </c>
      <c r="B436" s="8" t="s">
        <v>434</v>
      </c>
      <c r="C436" s="94" t="s">
        <v>435</v>
      </c>
      <c r="D436" s="95">
        <v>3215062</v>
      </c>
      <c r="E436" s="95">
        <v>2</v>
      </c>
      <c r="F436" s="95"/>
      <c r="G436" s="95">
        <v>105000</v>
      </c>
      <c r="H436" s="95">
        <v>10.5</v>
      </c>
      <c r="I436" s="95"/>
      <c r="J436" s="95" t="s">
        <v>179</v>
      </c>
      <c r="K436" s="95" t="b">
        <v>1</v>
      </c>
      <c r="L436" s="95">
        <v>7</v>
      </c>
      <c r="M436" s="96">
        <v>2032</v>
      </c>
      <c r="N436" s="97">
        <v>0</v>
      </c>
      <c r="O436" s="98">
        <v>46020</v>
      </c>
      <c r="P436" s="98">
        <v>46020</v>
      </c>
      <c r="Q436" s="99">
        <v>0</v>
      </c>
    </row>
    <row r="437" spans="1:17">
      <c r="A437" s="7">
        <v>2025</v>
      </c>
      <c r="B437" s="8" t="s">
        <v>434</v>
      </c>
      <c r="C437" s="94" t="s">
        <v>435</v>
      </c>
      <c r="D437" s="95">
        <v>3215062</v>
      </c>
      <c r="E437" s="95">
        <v>2</v>
      </c>
      <c r="F437" s="95"/>
      <c r="G437" s="95">
        <v>105000</v>
      </c>
      <c r="H437" s="95">
        <v>10.5</v>
      </c>
      <c r="I437" s="95"/>
      <c r="J437" s="95" t="s">
        <v>179</v>
      </c>
      <c r="K437" s="95" t="b">
        <v>1</v>
      </c>
      <c r="L437" s="95">
        <v>3</v>
      </c>
      <c r="M437" s="96">
        <v>2028</v>
      </c>
      <c r="N437" s="97">
        <v>0</v>
      </c>
      <c r="O437" s="98">
        <v>46020</v>
      </c>
      <c r="P437" s="98">
        <v>46020</v>
      </c>
      <c r="Q437" s="99">
        <v>0</v>
      </c>
    </row>
    <row r="438" spans="1:17">
      <c r="A438" s="7">
        <v>2025</v>
      </c>
      <c r="B438" s="8" t="s">
        <v>434</v>
      </c>
      <c r="C438" s="94" t="s">
        <v>435</v>
      </c>
      <c r="D438" s="95">
        <v>3215062</v>
      </c>
      <c r="E438" s="95">
        <v>2</v>
      </c>
      <c r="F438" s="95"/>
      <c r="G438" s="95">
        <v>105000</v>
      </c>
      <c r="H438" s="95">
        <v>10.5</v>
      </c>
      <c r="I438" s="95"/>
      <c r="J438" s="95" t="s">
        <v>179</v>
      </c>
      <c r="K438" s="95" t="b">
        <v>1</v>
      </c>
      <c r="L438" s="95">
        <v>4</v>
      </c>
      <c r="M438" s="96">
        <v>2029</v>
      </c>
      <c r="N438" s="97">
        <v>0</v>
      </c>
      <c r="O438" s="98">
        <v>46020</v>
      </c>
      <c r="P438" s="98">
        <v>46020</v>
      </c>
      <c r="Q438" s="99">
        <v>0</v>
      </c>
    </row>
    <row r="439" spans="1:17">
      <c r="A439" s="7">
        <v>2025</v>
      </c>
      <c r="B439" s="8" t="s">
        <v>434</v>
      </c>
      <c r="C439" s="94" t="s">
        <v>435</v>
      </c>
      <c r="D439" s="95">
        <v>3215062</v>
      </c>
      <c r="E439" s="95">
        <v>2</v>
      </c>
      <c r="F439" s="95"/>
      <c r="G439" s="95">
        <v>105000</v>
      </c>
      <c r="H439" s="95">
        <v>10.5</v>
      </c>
      <c r="I439" s="95"/>
      <c r="J439" s="95" t="s">
        <v>179</v>
      </c>
      <c r="K439" s="95" t="b">
        <v>1</v>
      </c>
      <c r="L439" s="95">
        <v>11</v>
      </c>
      <c r="M439" s="96">
        <v>2036</v>
      </c>
      <c r="N439" s="97">
        <v>0</v>
      </c>
      <c r="O439" s="98">
        <v>46020</v>
      </c>
      <c r="P439" s="98">
        <v>46020</v>
      </c>
      <c r="Q439" s="99">
        <v>0</v>
      </c>
    </row>
    <row r="440" spans="1:17">
      <c r="A440" s="7">
        <v>2025</v>
      </c>
      <c r="B440" s="8" t="s">
        <v>434</v>
      </c>
      <c r="C440" s="94" t="s">
        <v>435</v>
      </c>
      <c r="D440" s="95">
        <v>3215062</v>
      </c>
      <c r="E440" s="95">
        <v>2</v>
      </c>
      <c r="F440" s="95"/>
      <c r="G440" s="95">
        <v>105000</v>
      </c>
      <c r="H440" s="95">
        <v>10.5</v>
      </c>
      <c r="I440" s="95"/>
      <c r="J440" s="95" t="s">
        <v>179</v>
      </c>
      <c r="K440" s="95" t="b">
        <v>1</v>
      </c>
      <c r="L440" s="95">
        <v>6</v>
      </c>
      <c r="M440" s="96">
        <v>2031</v>
      </c>
      <c r="N440" s="97">
        <v>0</v>
      </c>
      <c r="O440" s="98">
        <v>46020</v>
      </c>
      <c r="P440" s="98">
        <v>46020</v>
      </c>
      <c r="Q440" s="99">
        <v>0</v>
      </c>
    </row>
    <row r="441" spans="1:17">
      <c r="A441" s="7">
        <v>2025</v>
      </c>
      <c r="B441" s="8" t="s">
        <v>434</v>
      </c>
      <c r="C441" s="94" t="s">
        <v>435</v>
      </c>
      <c r="D441" s="95">
        <v>3215062</v>
      </c>
      <c r="E441" s="95">
        <v>2</v>
      </c>
      <c r="F441" s="95"/>
      <c r="G441" s="95">
        <v>90000</v>
      </c>
      <c r="H441" s="95">
        <v>9</v>
      </c>
      <c r="I441" s="95"/>
      <c r="J441" s="95" t="s">
        <v>443</v>
      </c>
      <c r="K441" s="95" t="b">
        <v>1</v>
      </c>
      <c r="L441" s="95">
        <v>12</v>
      </c>
      <c r="M441" s="96">
        <v>2037</v>
      </c>
      <c r="N441" s="97">
        <v>0</v>
      </c>
      <c r="O441" s="98">
        <v>46020</v>
      </c>
      <c r="P441" s="98">
        <v>46020</v>
      </c>
      <c r="Q441" s="99">
        <v>0</v>
      </c>
    </row>
    <row r="442" spans="1:17">
      <c r="A442" s="7">
        <v>2025</v>
      </c>
      <c r="B442" s="8" t="s">
        <v>434</v>
      </c>
      <c r="C442" s="94" t="s">
        <v>435</v>
      </c>
      <c r="D442" s="95">
        <v>3215062</v>
      </c>
      <c r="E442" s="95">
        <v>2</v>
      </c>
      <c r="F442" s="95"/>
      <c r="G442" s="95">
        <v>90000</v>
      </c>
      <c r="H442" s="95">
        <v>9</v>
      </c>
      <c r="I442" s="95"/>
      <c r="J442" s="95" t="s">
        <v>443</v>
      </c>
      <c r="K442" s="95" t="b">
        <v>1</v>
      </c>
      <c r="L442" s="95">
        <v>3</v>
      </c>
      <c r="M442" s="96">
        <v>2028</v>
      </c>
      <c r="N442" s="97">
        <v>0</v>
      </c>
      <c r="O442" s="98">
        <v>46020</v>
      </c>
      <c r="P442" s="98">
        <v>46020</v>
      </c>
      <c r="Q442" s="99">
        <v>0</v>
      </c>
    </row>
    <row r="443" spans="1:17">
      <c r="A443" s="7">
        <v>2025</v>
      </c>
      <c r="B443" s="8" t="s">
        <v>434</v>
      </c>
      <c r="C443" s="94" t="s">
        <v>435</v>
      </c>
      <c r="D443" s="95">
        <v>3215062</v>
      </c>
      <c r="E443" s="95">
        <v>2</v>
      </c>
      <c r="F443" s="95"/>
      <c r="G443" s="95">
        <v>90000</v>
      </c>
      <c r="H443" s="95">
        <v>9</v>
      </c>
      <c r="I443" s="95"/>
      <c r="J443" s="95" t="s">
        <v>443</v>
      </c>
      <c r="K443" s="95" t="b">
        <v>1</v>
      </c>
      <c r="L443" s="95">
        <v>4</v>
      </c>
      <c r="M443" s="96">
        <v>2029</v>
      </c>
      <c r="N443" s="97">
        <v>0</v>
      </c>
      <c r="O443" s="98">
        <v>46020</v>
      </c>
      <c r="P443" s="98">
        <v>46020</v>
      </c>
      <c r="Q443" s="99">
        <v>0</v>
      </c>
    </row>
    <row r="444" spans="1:17">
      <c r="A444" s="7">
        <v>2025</v>
      </c>
      <c r="B444" s="8" t="s">
        <v>434</v>
      </c>
      <c r="C444" s="94" t="s">
        <v>435</v>
      </c>
      <c r="D444" s="95">
        <v>3215062</v>
      </c>
      <c r="E444" s="95">
        <v>2</v>
      </c>
      <c r="F444" s="95"/>
      <c r="G444" s="95">
        <v>90000</v>
      </c>
      <c r="H444" s="95">
        <v>9</v>
      </c>
      <c r="I444" s="95"/>
      <c r="J444" s="95" t="s">
        <v>443</v>
      </c>
      <c r="K444" s="95" t="b">
        <v>1</v>
      </c>
      <c r="L444" s="95">
        <v>13</v>
      </c>
      <c r="M444" s="96">
        <v>2038</v>
      </c>
      <c r="N444" s="97">
        <v>0</v>
      </c>
      <c r="O444" s="98">
        <v>46020</v>
      </c>
      <c r="P444" s="98">
        <v>46020</v>
      </c>
      <c r="Q444" s="99">
        <v>0</v>
      </c>
    </row>
    <row r="445" spans="1:17">
      <c r="A445" s="7">
        <v>2025</v>
      </c>
      <c r="B445" s="8" t="s">
        <v>434</v>
      </c>
      <c r="C445" s="94" t="s">
        <v>435</v>
      </c>
      <c r="D445" s="95">
        <v>3215062</v>
      </c>
      <c r="E445" s="95">
        <v>2</v>
      </c>
      <c r="F445" s="95"/>
      <c r="G445" s="95">
        <v>90000</v>
      </c>
      <c r="H445" s="95">
        <v>9</v>
      </c>
      <c r="I445" s="95"/>
      <c r="J445" s="95" t="s">
        <v>443</v>
      </c>
      <c r="K445" s="95" t="b">
        <v>1</v>
      </c>
      <c r="L445" s="95">
        <v>9</v>
      </c>
      <c r="M445" s="96">
        <v>2034</v>
      </c>
      <c r="N445" s="97">
        <v>0</v>
      </c>
      <c r="O445" s="98">
        <v>46020</v>
      </c>
      <c r="P445" s="98">
        <v>46020</v>
      </c>
      <c r="Q445" s="99">
        <v>0</v>
      </c>
    </row>
    <row r="446" spans="1:17">
      <c r="A446" s="7">
        <v>2025</v>
      </c>
      <c r="B446" s="8" t="s">
        <v>434</v>
      </c>
      <c r="C446" s="94" t="s">
        <v>435</v>
      </c>
      <c r="D446" s="95">
        <v>3215062</v>
      </c>
      <c r="E446" s="95">
        <v>2</v>
      </c>
      <c r="F446" s="95"/>
      <c r="G446" s="95">
        <v>90000</v>
      </c>
      <c r="H446" s="95">
        <v>9</v>
      </c>
      <c r="I446" s="95"/>
      <c r="J446" s="95" t="s">
        <v>443</v>
      </c>
      <c r="K446" s="95" t="b">
        <v>1</v>
      </c>
      <c r="L446" s="95">
        <v>5</v>
      </c>
      <c r="M446" s="96">
        <v>2030</v>
      </c>
      <c r="N446" s="97">
        <v>0</v>
      </c>
      <c r="O446" s="98">
        <v>46020</v>
      </c>
      <c r="P446" s="98">
        <v>46020</v>
      </c>
      <c r="Q446" s="99">
        <v>0</v>
      </c>
    </row>
    <row r="447" spans="1:17">
      <c r="A447" s="7">
        <v>2025</v>
      </c>
      <c r="B447" s="8" t="s">
        <v>434</v>
      </c>
      <c r="C447" s="94" t="s">
        <v>435</v>
      </c>
      <c r="D447" s="95">
        <v>3215062</v>
      </c>
      <c r="E447" s="95">
        <v>2</v>
      </c>
      <c r="F447" s="95"/>
      <c r="G447" s="95">
        <v>90000</v>
      </c>
      <c r="H447" s="95">
        <v>9</v>
      </c>
      <c r="I447" s="95"/>
      <c r="J447" s="95" t="s">
        <v>443</v>
      </c>
      <c r="K447" s="95" t="b">
        <v>1</v>
      </c>
      <c r="L447" s="95">
        <v>8</v>
      </c>
      <c r="M447" s="96">
        <v>2033</v>
      </c>
      <c r="N447" s="97">
        <v>0</v>
      </c>
      <c r="O447" s="98">
        <v>46020</v>
      </c>
      <c r="P447" s="98">
        <v>46020</v>
      </c>
      <c r="Q447" s="99">
        <v>0</v>
      </c>
    </row>
    <row r="448" spans="1:17">
      <c r="A448" s="7">
        <v>2025</v>
      </c>
      <c r="B448" s="8" t="s">
        <v>434</v>
      </c>
      <c r="C448" s="94" t="s">
        <v>435</v>
      </c>
      <c r="D448" s="95">
        <v>3215062</v>
      </c>
      <c r="E448" s="95">
        <v>2</v>
      </c>
      <c r="F448" s="95"/>
      <c r="G448" s="95">
        <v>90000</v>
      </c>
      <c r="H448" s="95">
        <v>9</v>
      </c>
      <c r="I448" s="95"/>
      <c r="J448" s="95" t="s">
        <v>443</v>
      </c>
      <c r="K448" s="95" t="b">
        <v>1</v>
      </c>
      <c r="L448" s="95">
        <v>1</v>
      </c>
      <c r="M448" s="96">
        <v>2026</v>
      </c>
      <c r="N448" s="97">
        <v>0</v>
      </c>
      <c r="O448" s="98">
        <v>46020</v>
      </c>
      <c r="P448" s="98">
        <v>46020</v>
      </c>
      <c r="Q448" s="99">
        <v>0</v>
      </c>
    </row>
    <row r="449" spans="1:17">
      <c r="A449" s="7">
        <v>2025</v>
      </c>
      <c r="B449" s="8" t="s">
        <v>434</v>
      </c>
      <c r="C449" s="94" t="s">
        <v>435</v>
      </c>
      <c r="D449" s="95">
        <v>3215062</v>
      </c>
      <c r="E449" s="95">
        <v>2</v>
      </c>
      <c r="F449" s="95"/>
      <c r="G449" s="95">
        <v>90000</v>
      </c>
      <c r="H449" s="95">
        <v>9</v>
      </c>
      <c r="I449" s="95"/>
      <c r="J449" s="95" t="s">
        <v>443</v>
      </c>
      <c r="K449" s="95" t="b">
        <v>1</v>
      </c>
      <c r="L449" s="95">
        <v>11</v>
      </c>
      <c r="M449" s="96">
        <v>2036</v>
      </c>
      <c r="N449" s="97">
        <v>0</v>
      </c>
      <c r="O449" s="98">
        <v>46020</v>
      </c>
      <c r="P449" s="98">
        <v>46020</v>
      </c>
      <c r="Q449" s="99">
        <v>0</v>
      </c>
    </row>
    <row r="450" spans="1:17">
      <c r="A450" s="7">
        <v>2025</v>
      </c>
      <c r="B450" s="8" t="s">
        <v>434</v>
      </c>
      <c r="C450" s="94" t="s">
        <v>435</v>
      </c>
      <c r="D450" s="95">
        <v>3215062</v>
      </c>
      <c r="E450" s="95">
        <v>2</v>
      </c>
      <c r="F450" s="95"/>
      <c r="G450" s="95">
        <v>90000</v>
      </c>
      <c r="H450" s="95">
        <v>9</v>
      </c>
      <c r="I450" s="95"/>
      <c r="J450" s="95" t="s">
        <v>443</v>
      </c>
      <c r="K450" s="95" t="b">
        <v>1</v>
      </c>
      <c r="L450" s="95">
        <v>10</v>
      </c>
      <c r="M450" s="96">
        <v>2035</v>
      </c>
      <c r="N450" s="97">
        <v>0</v>
      </c>
      <c r="O450" s="98">
        <v>46020</v>
      </c>
      <c r="P450" s="98">
        <v>46020</v>
      </c>
      <c r="Q450" s="99">
        <v>0</v>
      </c>
    </row>
    <row r="451" spans="1:17">
      <c r="A451" s="7">
        <v>2025</v>
      </c>
      <c r="B451" s="8" t="s">
        <v>434</v>
      </c>
      <c r="C451" s="94" t="s">
        <v>435</v>
      </c>
      <c r="D451" s="95">
        <v>3215062</v>
      </c>
      <c r="E451" s="95">
        <v>2</v>
      </c>
      <c r="F451" s="95"/>
      <c r="G451" s="95">
        <v>90000</v>
      </c>
      <c r="H451" s="95">
        <v>9</v>
      </c>
      <c r="I451" s="95"/>
      <c r="J451" s="95" t="s">
        <v>443</v>
      </c>
      <c r="K451" s="95" t="b">
        <v>1</v>
      </c>
      <c r="L451" s="95">
        <v>0</v>
      </c>
      <c r="M451" s="96">
        <v>2025</v>
      </c>
      <c r="N451" s="97">
        <v>0</v>
      </c>
      <c r="O451" s="98">
        <v>46020</v>
      </c>
      <c r="P451" s="98">
        <v>46020</v>
      </c>
      <c r="Q451" s="99">
        <v>0</v>
      </c>
    </row>
    <row r="452" spans="1:17">
      <c r="A452" s="7">
        <v>2025</v>
      </c>
      <c r="B452" s="8" t="s">
        <v>434</v>
      </c>
      <c r="C452" s="94" t="s">
        <v>435</v>
      </c>
      <c r="D452" s="95">
        <v>3215062</v>
      </c>
      <c r="E452" s="95">
        <v>2</v>
      </c>
      <c r="F452" s="95"/>
      <c r="G452" s="95">
        <v>90000</v>
      </c>
      <c r="H452" s="95">
        <v>9</v>
      </c>
      <c r="I452" s="95"/>
      <c r="J452" s="95" t="s">
        <v>443</v>
      </c>
      <c r="K452" s="95" t="b">
        <v>1</v>
      </c>
      <c r="L452" s="95">
        <v>7</v>
      </c>
      <c r="M452" s="96">
        <v>2032</v>
      </c>
      <c r="N452" s="97">
        <v>0</v>
      </c>
      <c r="O452" s="98">
        <v>46020</v>
      </c>
      <c r="P452" s="98">
        <v>46020</v>
      </c>
      <c r="Q452" s="99">
        <v>0</v>
      </c>
    </row>
    <row r="453" spans="1:17">
      <c r="A453" s="7">
        <v>2025</v>
      </c>
      <c r="B453" s="8" t="s">
        <v>434</v>
      </c>
      <c r="C453" s="94" t="s">
        <v>435</v>
      </c>
      <c r="D453" s="95">
        <v>3215062</v>
      </c>
      <c r="E453" s="95">
        <v>2</v>
      </c>
      <c r="F453" s="95"/>
      <c r="G453" s="95">
        <v>90000</v>
      </c>
      <c r="H453" s="95">
        <v>9</v>
      </c>
      <c r="I453" s="95"/>
      <c r="J453" s="95" t="s">
        <v>443</v>
      </c>
      <c r="K453" s="95" t="b">
        <v>1</v>
      </c>
      <c r="L453" s="95">
        <v>2</v>
      </c>
      <c r="M453" s="96">
        <v>2027</v>
      </c>
      <c r="N453" s="97">
        <v>0</v>
      </c>
      <c r="O453" s="98">
        <v>46020</v>
      </c>
      <c r="P453" s="98">
        <v>46020</v>
      </c>
      <c r="Q453" s="99">
        <v>0</v>
      </c>
    </row>
    <row r="454" spans="1:17">
      <c r="A454" s="7">
        <v>2025</v>
      </c>
      <c r="B454" s="8" t="s">
        <v>434</v>
      </c>
      <c r="C454" s="94" t="s">
        <v>435</v>
      </c>
      <c r="D454" s="95">
        <v>3215062</v>
      </c>
      <c r="E454" s="95">
        <v>2</v>
      </c>
      <c r="F454" s="95"/>
      <c r="G454" s="95">
        <v>90000</v>
      </c>
      <c r="H454" s="95">
        <v>9</v>
      </c>
      <c r="I454" s="95"/>
      <c r="J454" s="95" t="s">
        <v>443</v>
      </c>
      <c r="K454" s="95" t="b">
        <v>1</v>
      </c>
      <c r="L454" s="95">
        <v>6</v>
      </c>
      <c r="M454" s="96">
        <v>2031</v>
      </c>
      <c r="N454" s="97">
        <v>0</v>
      </c>
      <c r="O454" s="98">
        <v>46020</v>
      </c>
      <c r="P454" s="98">
        <v>46020</v>
      </c>
      <c r="Q454" s="99">
        <v>0</v>
      </c>
    </row>
    <row r="455" spans="1:17">
      <c r="A455" s="7">
        <v>2025</v>
      </c>
      <c r="B455" s="8" t="s">
        <v>434</v>
      </c>
      <c r="C455" s="94" t="s">
        <v>435</v>
      </c>
      <c r="D455" s="95">
        <v>3215062</v>
      </c>
      <c r="E455" s="95">
        <v>2</v>
      </c>
      <c r="F455" s="95"/>
      <c r="G455" s="95">
        <v>51140</v>
      </c>
      <c r="H455" s="95" t="s">
        <v>321</v>
      </c>
      <c r="I455" s="95"/>
      <c r="J455" s="95" t="s">
        <v>444</v>
      </c>
      <c r="K455" s="95" t="b">
        <v>1</v>
      </c>
      <c r="L455" s="95">
        <v>7</v>
      </c>
      <c r="M455" s="96">
        <v>2032</v>
      </c>
      <c r="N455" s="97">
        <v>0</v>
      </c>
      <c r="O455" s="98">
        <v>46020</v>
      </c>
      <c r="P455" s="98">
        <v>46020</v>
      </c>
      <c r="Q455" s="99">
        <v>0</v>
      </c>
    </row>
    <row r="456" spans="1:17">
      <c r="A456" s="7">
        <v>2025</v>
      </c>
      <c r="B456" s="8" t="s">
        <v>434</v>
      </c>
      <c r="C456" s="94" t="s">
        <v>435</v>
      </c>
      <c r="D456" s="95">
        <v>3215062</v>
      </c>
      <c r="E456" s="95">
        <v>2</v>
      </c>
      <c r="F456" s="95"/>
      <c r="G456" s="95">
        <v>51140</v>
      </c>
      <c r="H456" s="95" t="s">
        <v>321</v>
      </c>
      <c r="I456" s="95"/>
      <c r="J456" s="95" t="s">
        <v>444</v>
      </c>
      <c r="K456" s="95" t="b">
        <v>1</v>
      </c>
      <c r="L456" s="95">
        <v>12</v>
      </c>
      <c r="M456" s="96">
        <v>2037</v>
      </c>
      <c r="N456" s="97">
        <v>0</v>
      </c>
      <c r="O456" s="98">
        <v>46020</v>
      </c>
      <c r="P456" s="98">
        <v>46020</v>
      </c>
      <c r="Q456" s="99">
        <v>0</v>
      </c>
    </row>
    <row r="457" spans="1:17">
      <c r="A457" s="7">
        <v>2025</v>
      </c>
      <c r="B457" s="8" t="s">
        <v>434</v>
      </c>
      <c r="C457" s="94" t="s">
        <v>435</v>
      </c>
      <c r="D457" s="95">
        <v>3215062</v>
      </c>
      <c r="E457" s="95">
        <v>2</v>
      </c>
      <c r="F457" s="95"/>
      <c r="G457" s="95">
        <v>51140</v>
      </c>
      <c r="H457" s="95" t="s">
        <v>321</v>
      </c>
      <c r="I457" s="95"/>
      <c r="J457" s="95" t="s">
        <v>444</v>
      </c>
      <c r="K457" s="95" t="b">
        <v>1</v>
      </c>
      <c r="L457" s="95">
        <v>5</v>
      </c>
      <c r="M457" s="96">
        <v>2030</v>
      </c>
      <c r="N457" s="97">
        <v>0</v>
      </c>
      <c r="O457" s="98">
        <v>46020</v>
      </c>
      <c r="P457" s="98">
        <v>46020</v>
      </c>
      <c r="Q457" s="99">
        <v>0</v>
      </c>
    </row>
    <row r="458" spans="1:17">
      <c r="A458" s="7">
        <v>2025</v>
      </c>
      <c r="B458" s="8" t="s">
        <v>434</v>
      </c>
      <c r="C458" s="94" t="s">
        <v>435</v>
      </c>
      <c r="D458" s="95">
        <v>3215062</v>
      </c>
      <c r="E458" s="95">
        <v>2</v>
      </c>
      <c r="F458" s="95"/>
      <c r="G458" s="95">
        <v>51140</v>
      </c>
      <c r="H458" s="95" t="s">
        <v>321</v>
      </c>
      <c r="I458" s="95"/>
      <c r="J458" s="95" t="s">
        <v>444</v>
      </c>
      <c r="K458" s="95" t="b">
        <v>1</v>
      </c>
      <c r="L458" s="95">
        <v>8</v>
      </c>
      <c r="M458" s="96">
        <v>2033</v>
      </c>
      <c r="N458" s="97">
        <v>0</v>
      </c>
      <c r="O458" s="98">
        <v>46020</v>
      </c>
      <c r="P458" s="98">
        <v>46020</v>
      </c>
      <c r="Q458" s="99">
        <v>0</v>
      </c>
    </row>
    <row r="459" spans="1:17">
      <c r="A459" s="7">
        <v>2025</v>
      </c>
      <c r="B459" s="8" t="s">
        <v>434</v>
      </c>
      <c r="C459" s="94" t="s">
        <v>435</v>
      </c>
      <c r="D459" s="95">
        <v>3215062</v>
      </c>
      <c r="E459" s="95">
        <v>2</v>
      </c>
      <c r="F459" s="95"/>
      <c r="G459" s="95">
        <v>51140</v>
      </c>
      <c r="H459" s="95" t="s">
        <v>321</v>
      </c>
      <c r="I459" s="95"/>
      <c r="J459" s="95" t="s">
        <v>444</v>
      </c>
      <c r="K459" s="95" t="b">
        <v>1</v>
      </c>
      <c r="L459" s="95">
        <v>1</v>
      </c>
      <c r="M459" s="96">
        <v>2026</v>
      </c>
      <c r="N459" s="97">
        <v>0</v>
      </c>
      <c r="O459" s="98">
        <v>46020</v>
      </c>
      <c r="P459" s="98">
        <v>46020</v>
      </c>
      <c r="Q459" s="99">
        <v>0</v>
      </c>
    </row>
    <row r="460" spans="1:17">
      <c r="A460" s="7">
        <v>2025</v>
      </c>
      <c r="B460" s="8" t="s">
        <v>434</v>
      </c>
      <c r="C460" s="94" t="s">
        <v>435</v>
      </c>
      <c r="D460" s="95">
        <v>3215062</v>
      </c>
      <c r="E460" s="95">
        <v>2</v>
      </c>
      <c r="F460" s="95"/>
      <c r="G460" s="95">
        <v>51140</v>
      </c>
      <c r="H460" s="95" t="s">
        <v>321</v>
      </c>
      <c r="I460" s="95"/>
      <c r="J460" s="95" t="s">
        <v>444</v>
      </c>
      <c r="K460" s="95" t="b">
        <v>1</v>
      </c>
      <c r="L460" s="95">
        <v>9</v>
      </c>
      <c r="M460" s="96">
        <v>2034</v>
      </c>
      <c r="N460" s="97">
        <v>0</v>
      </c>
      <c r="O460" s="98">
        <v>46020</v>
      </c>
      <c r="P460" s="98">
        <v>46020</v>
      </c>
      <c r="Q460" s="99">
        <v>0</v>
      </c>
    </row>
    <row r="461" spans="1:17">
      <c r="A461" s="7">
        <v>2025</v>
      </c>
      <c r="B461" s="8" t="s">
        <v>434</v>
      </c>
      <c r="C461" s="94" t="s">
        <v>435</v>
      </c>
      <c r="D461" s="95">
        <v>3215062</v>
      </c>
      <c r="E461" s="95">
        <v>2</v>
      </c>
      <c r="F461" s="95"/>
      <c r="G461" s="95">
        <v>51140</v>
      </c>
      <c r="H461" s="95" t="s">
        <v>321</v>
      </c>
      <c r="I461" s="95"/>
      <c r="J461" s="95" t="s">
        <v>444</v>
      </c>
      <c r="K461" s="95" t="b">
        <v>1</v>
      </c>
      <c r="L461" s="95">
        <v>10</v>
      </c>
      <c r="M461" s="96">
        <v>2035</v>
      </c>
      <c r="N461" s="97">
        <v>0</v>
      </c>
      <c r="O461" s="98">
        <v>46020</v>
      </c>
      <c r="P461" s="98">
        <v>46020</v>
      </c>
      <c r="Q461" s="99">
        <v>0</v>
      </c>
    </row>
    <row r="462" spans="1:17">
      <c r="A462" s="7">
        <v>2025</v>
      </c>
      <c r="B462" s="8" t="s">
        <v>434</v>
      </c>
      <c r="C462" s="94" t="s">
        <v>435</v>
      </c>
      <c r="D462" s="95">
        <v>3215062</v>
      </c>
      <c r="E462" s="95">
        <v>2</v>
      </c>
      <c r="F462" s="95"/>
      <c r="G462" s="95">
        <v>51140</v>
      </c>
      <c r="H462" s="95" t="s">
        <v>321</v>
      </c>
      <c r="I462" s="95"/>
      <c r="J462" s="95" t="s">
        <v>444</v>
      </c>
      <c r="K462" s="95" t="b">
        <v>1</v>
      </c>
      <c r="L462" s="95">
        <v>2</v>
      </c>
      <c r="M462" s="96">
        <v>2027</v>
      </c>
      <c r="N462" s="97">
        <v>0</v>
      </c>
      <c r="O462" s="98">
        <v>46020</v>
      </c>
      <c r="P462" s="98">
        <v>46020</v>
      </c>
      <c r="Q462" s="99">
        <v>0</v>
      </c>
    </row>
    <row r="463" spans="1:17">
      <c r="A463" s="7">
        <v>2025</v>
      </c>
      <c r="B463" s="8" t="s">
        <v>434</v>
      </c>
      <c r="C463" s="94" t="s">
        <v>435</v>
      </c>
      <c r="D463" s="95">
        <v>3215062</v>
      </c>
      <c r="E463" s="95">
        <v>2</v>
      </c>
      <c r="F463" s="95"/>
      <c r="G463" s="95">
        <v>51140</v>
      </c>
      <c r="H463" s="95" t="s">
        <v>321</v>
      </c>
      <c r="I463" s="95"/>
      <c r="J463" s="95" t="s">
        <v>444</v>
      </c>
      <c r="K463" s="95" t="b">
        <v>1</v>
      </c>
      <c r="L463" s="95">
        <v>4</v>
      </c>
      <c r="M463" s="96">
        <v>2029</v>
      </c>
      <c r="N463" s="97">
        <v>0</v>
      </c>
      <c r="O463" s="98">
        <v>46020</v>
      </c>
      <c r="P463" s="98">
        <v>46020</v>
      </c>
      <c r="Q463" s="99">
        <v>0</v>
      </c>
    </row>
    <row r="464" spans="1:17">
      <c r="A464" s="7">
        <v>2025</v>
      </c>
      <c r="B464" s="8" t="s">
        <v>434</v>
      </c>
      <c r="C464" s="94" t="s">
        <v>435</v>
      </c>
      <c r="D464" s="95">
        <v>3215062</v>
      </c>
      <c r="E464" s="95">
        <v>2</v>
      </c>
      <c r="F464" s="95"/>
      <c r="G464" s="95">
        <v>51140</v>
      </c>
      <c r="H464" s="95" t="s">
        <v>321</v>
      </c>
      <c r="I464" s="95"/>
      <c r="J464" s="95" t="s">
        <v>444</v>
      </c>
      <c r="K464" s="95" t="b">
        <v>1</v>
      </c>
      <c r="L464" s="95">
        <v>0</v>
      </c>
      <c r="M464" s="96">
        <v>2025</v>
      </c>
      <c r="N464" s="97">
        <v>0</v>
      </c>
      <c r="O464" s="98">
        <v>46020</v>
      </c>
      <c r="P464" s="98">
        <v>46020</v>
      </c>
      <c r="Q464" s="99">
        <v>0</v>
      </c>
    </row>
    <row r="465" spans="1:17">
      <c r="A465" s="7">
        <v>2025</v>
      </c>
      <c r="B465" s="8" t="s">
        <v>434</v>
      </c>
      <c r="C465" s="94" t="s">
        <v>435</v>
      </c>
      <c r="D465" s="95">
        <v>3215062</v>
      </c>
      <c r="E465" s="95">
        <v>2</v>
      </c>
      <c r="F465" s="95"/>
      <c r="G465" s="95">
        <v>51140</v>
      </c>
      <c r="H465" s="95" t="s">
        <v>321</v>
      </c>
      <c r="I465" s="95"/>
      <c r="J465" s="95" t="s">
        <v>444</v>
      </c>
      <c r="K465" s="95" t="b">
        <v>1</v>
      </c>
      <c r="L465" s="95">
        <v>11</v>
      </c>
      <c r="M465" s="96">
        <v>2036</v>
      </c>
      <c r="N465" s="97">
        <v>0</v>
      </c>
      <c r="O465" s="98">
        <v>46020</v>
      </c>
      <c r="P465" s="98">
        <v>46020</v>
      </c>
      <c r="Q465" s="99">
        <v>0</v>
      </c>
    </row>
    <row r="466" spans="1:17">
      <c r="A466" s="7">
        <v>2025</v>
      </c>
      <c r="B466" s="8" t="s">
        <v>434</v>
      </c>
      <c r="C466" s="94" t="s">
        <v>435</v>
      </c>
      <c r="D466" s="95">
        <v>3215062</v>
      </c>
      <c r="E466" s="95">
        <v>2</v>
      </c>
      <c r="F466" s="95"/>
      <c r="G466" s="95">
        <v>51140</v>
      </c>
      <c r="H466" s="95" t="s">
        <v>321</v>
      </c>
      <c r="I466" s="95"/>
      <c r="J466" s="95" t="s">
        <v>444</v>
      </c>
      <c r="K466" s="95" t="b">
        <v>1</v>
      </c>
      <c r="L466" s="95">
        <v>6</v>
      </c>
      <c r="M466" s="96">
        <v>2031</v>
      </c>
      <c r="N466" s="97">
        <v>0</v>
      </c>
      <c r="O466" s="98">
        <v>46020</v>
      </c>
      <c r="P466" s="98">
        <v>46020</v>
      </c>
      <c r="Q466" s="99">
        <v>0</v>
      </c>
    </row>
    <row r="467" spans="1:17">
      <c r="A467" s="7">
        <v>2025</v>
      </c>
      <c r="B467" s="8" t="s">
        <v>434</v>
      </c>
      <c r="C467" s="94" t="s">
        <v>435</v>
      </c>
      <c r="D467" s="95">
        <v>3215062</v>
      </c>
      <c r="E467" s="95">
        <v>2</v>
      </c>
      <c r="F467" s="95"/>
      <c r="G467" s="95">
        <v>51140</v>
      </c>
      <c r="H467" s="95" t="s">
        <v>321</v>
      </c>
      <c r="I467" s="95"/>
      <c r="J467" s="95" t="s">
        <v>444</v>
      </c>
      <c r="K467" s="95" t="b">
        <v>1</v>
      </c>
      <c r="L467" s="95">
        <v>13</v>
      </c>
      <c r="M467" s="96">
        <v>2038</v>
      </c>
      <c r="N467" s="97">
        <v>0</v>
      </c>
      <c r="O467" s="98">
        <v>46020</v>
      </c>
      <c r="P467" s="98">
        <v>46020</v>
      </c>
      <c r="Q467" s="99">
        <v>0</v>
      </c>
    </row>
    <row r="468" spans="1:17">
      <c r="A468" s="7">
        <v>2025</v>
      </c>
      <c r="B468" s="8" t="s">
        <v>434</v>
      </c>
      <c r="C468" s="94" t="s">
        <v>435</v>
      </c>
      <c r="D468" s="95">
        <v>3215062</v>
      </c>
      <c r="E468" s="95">
        <v>2</v>
      </c>
      <c r="F468" s="95"/>
      <c r="G468" s="95">
        <v>51140</v>
      </c>
      <c r="H468" s="95" t="s">
        <v>321</v>
      </c>
      <c r="I468" s="95"/>
      <c r="J468" s="95" t="s">
        <v>444</v>
      </c>
      <c r="K468" s="95" t="b">
        <v>1</v>
      </c>
      <c r="L468" s="95">
        <v>3</v>
      </c>
      <c r="M468" s="96">
        <v>2028</v>
      </c>
      <c r="N468" s="97">
        <v>0</v>
      </c>
      <c r="O468" s="98">
        <v>46020</v>
      </c>
      <c r="P468" s="98">
        <v>46020</v>
      </c>
      <c r="Q468" s="99">
        <v>0</v>
      </c>
    </row>
    <row r="469" spans="1:17">
      <c r="A469" s="7">
        <v>2025</v>
      </c>
      <c r="B469" s="8" t="s">
        <v>434</v>
      </c>
      <c r="C469" s="94" t="s">
        <v>435</v>
      </c>
      <c r="D469" s="95">
        <v>3215062</v>
      </c>
      <c r="E469" s="95">
        <v>2</v>
      </c>
      <c r="F469" s="95"/>
      <c r="G469" s="95">
        <v>80000</v>
      </c>
      <c r="H469" s="95">
        <v>8</v>
      </c>
      <c r="I469" s="95"/>
      <c r="J469" s="95" t="s">
        <v>60</v>
      </c>
      <c r="K469" s="95" t="b">
        <v>0</v>
      </c>
      <c r="L469" s="95">
        <v>4</v>
      </c>
      <c r="M469" s="96">
        <v>2029</v>
      </c>
      <c r="N469" s="97">
        <v>0</v>
      </c>
      <c r="O469" s="98">
        <v>46020</v>
      </c>
      <c r="P469" s="98">
        <v>46020</v>
      </c>
      <c r="Q469" s="99">
        <v>0</v>
      </c>
    </row>
    <row r="470" spans="1:17">
      <c r="A470" s="7">
        <v>2025</v>
      </c>
      <c r="B470" s="8" t="s">
        <v>434</v>
      </c>
      <c r="C470" s="94" t="s">
        <v>435</v>
      </c>
      <c r="D470" s="95">
        <v>3215062</v>
      </c>
      <c r="E470" s="95">
        <v>2</v>
      </c>
      <c r="F470" s="95"/>
      <c r="G470" s="95">
        <v>80000</v>
      </c>
      <c r="H470" s="95">
        <v>8</v>
      </c>
      <c r="I470" s="95"/>
      <c r="J470" s="95" t="s">
        <v>60</v>
      </c>
      <c r="K470" s="95" t="b">
        <v>0</v>
      </c>
      <c r="L470" s="95">
        <v>13</v>
      </c>
      <c r="M470" s="96">
        <v>2038</v>
      </c>
      <c r="N470" s="97">
        <v>0</v>
      </c>
      <c r="O470" s="98">
        <v>46020</v>
      </c>
      <c r="P470" s="98">
        <v>46020</v>
      </c>
      <c r="Q470" s="99">
        <v>0</v>
      </c>
    </row>
    <row r="471" spans="1:17">
      <c r="A471" s="7">
        <v>2025</v>
      </c>
      <c r="B471" s="8" t="s">
        <v>434</v>
      </c>
      <c r="C471" s="94" t="s">
        <v>435</v>
      </c>
      <c r="D471" s="95">
        <v>3215062</v>
      </c>
      <c r="E471" s="95">
        <v>2</v>
      </c>
      <c r="F471" s="95"/>
      <c r="G471" s="95">
        <v>80000</v>
      </c>
      <c r="H471" s="95">
        <v>8</v>
      </c>
      <c r="I471" s="95"/>
      <c r="J471" s="95" t="s">
        <v>60</v>
      </c>
      <c r="K471" s="95" t="b">
        <v>0</v>
      </c>
      <c r="L471" s="95">
        <v>5</v>
      </c>
      <c r="M471" s="96">
        <v>2030</v>
      </c>
      <c r="N471" s="97">
        <v>0</v>
      </c>
      <c r="O471" s="98">
        <v>46020</v>
      </c>
      <c r="P471" s="98">
        <v>46020</v>
      </c>
      <c r="Q471" s="99">
        <v>0</v>
      </c>
    </row>
    <row r="472" spans="1:17">
      <c r="A472" s="7">
        <v>2025</v>
      </c>
      <c r="B472" s="8" t="s">
        <v>434</v>
      </c>
      <c r="C472" s="94" t="s">
        <v>435</v>
      </c>
      <c r="D472" s="95">
        <v>3215062</v>
      </c>
      <c r="E472" s="95">
        <v>2</v>
      </c>
      <c r="F472" s="95"/>
      <c r="G472" s="95">
        <v>80000</v>
      </c>
      <c r="H472" s="95">
        <v>8</v>
      </c>
      <c r="I472" s="95"/>
      <c r="J472" s="95" t="s">
        <v>60</v>
      </c>
      <c r="K472" s="95" t="b">
        <v>0</v>
      </c>
      <c r="L472" s="95">
        <v>6</v>
      </c>
      <c r="M472" s="96">
        <v>2031</v>
      </c>
      <c r="N472" s="97">
        <v>0</v>
      </c>
      <c r="O472" s="98">
        <v>46020</v>
      </c>
      <c r="P472" s="98">
        <v>46020</v>
      </c>
      <c r="Q472" s="99">
        <v>0</v>
      </c>
    </row>
    <row r="473" spans="1:17">
      <c r="A473" s="7">
        <v>2025</v>
      </c>
      <c r="B473" s="8" t="s">
        <v>434</v>
      </c>
      <c r="C473" s="94" t="s">
        <v>435</v>
      </c>
      <c r="D473" s="95">
        <v>3215062</v>
      </c>
      <c r="E473" s="95">
        <v>2</v>
      </c>
      <c r="F473" s="95"/>
      <c r="G473" s="95">
        <v>80000</v>
      </c>
      <c r="H473" s="95">
        <v>8</v>
      </c>
      <c r="I473" s="95"/>
      <c r="J473" s="95" t="s">
        <v>60</v>
      </c>
      <c r="K473" s="95" t="b">
        <v>0</v>
      </c>
      <c r="L473" s="95">
        <v>3</v>
      </c>
      <c r="M473" s="96">
        <v>2028</v>
      </c>
      <c r="N473" s="97">
        <v>0</v>
      </c>
      <c r="O473" s="98">
        <v>46020</v>
      </c>
      <c r="P473" s="98">
        <v>46020</v>
      </c>
      <c r="Q473" s="99">
        <v>0</v>
      </c>
    </row>
    <row r="474" spans="1:17">
      <c r="A474" s="7">
        <v>2025</v>
      </c>
      <c r="B474" s="8" t="s">
        <v>434</v>
      </c>
      <c r="C474" s="94" t="s">
        <v>435</v>
      </c>
      <c r="D474" s="95">
        <v>3215062</v>
      </c>
      <c r="E474" s="95">
        <v>2</v>
      </c>
      <c r="F474" s="95"/>
      <c r="G474" s="95">
        <v>80000</v>
      </c>
      <c r="H474" s="95">
        <v>8</v>
      </c>
      <c r="I474" s="95"/>
      <c r="J474" s="95" t="s">
        <v>60</v>
      </c>
      <c r="K474" s="95" t="b">
        <v>0</v>
      </c>
      <c r="L474" s="95">
        <v>11</v>
      </c>
      <c r="M474" s="96">
        <v>2036</v>
      </c>
      <c r="N474" s="97">
        <v>0</v>
      </c>
      <c r="O474" s="98">
        <v>46020</v>
      </c>
      <c r="P474" s="98">
        <v>46020</v>
      </c>
      <c r="Q474" s="99">
        <v>0</v>
      </c>
    </row>
    <row r="475" spans="1:17">
      <c r="A475" s="7">
        <v>2025</v>
      </c>
      <c r="B475" s="8" t="s">
        <v>434</v>
      </c>
      <c r="C475" s="94" t="s">
        <v>435</v>
      </c>
      <c r="D475" s="95">
        <v>3215062</v>
      </c>
      <c r="E475" s="95">
        <v>2</v>
      </c>
      <c r="F475" s="95"/>
      <c r="G475" s="95">
        <v>80000</v>
      </c>
      <c r="H475" s="95">
        <v>8</v>
      </c>
      <c r="I475" s="95"/>
      <c r="J475" s="95" t="s">
        <v>60</v>
      </c>
      <c r="K475" s="95" t="b">
        <v>0</v>
      </c>
      <c r="L475" s="95">
        <v>12</v>
      </c>
      <c r="M475" s="96">
        <v>2037</v>
      </c>
      <c r="N475" s="97">
        <v>0</v>
      </c>
      <c r="O475" s="98">
        <v>46020</v>
      </c>
      <c r="P475" s="98">
        <v>46020</v>
      </c>
      <c r="Q475" s="99">
        <v>0</v>
      </c>
    </row>
    <row r="476" spans="1:17">
      <c r="A476" s="7">
        <v>2025</v>
      </c>
      <c r="B476" s="8" t="s">
        <v>434</v>
      </c>
      <c r="C476" s="94" t="s">
        <v>435</v>
      </c>
      <c r="D476" s="95">
        <v>3215062</v>
      </c>
      <c r="E476" s="95">
        <v>2</v>
      </c>
      <c r="F476" s="95"/>
      <c r="G476" s="95">
        <v>80000</v>
      </c>
      <c r="H476" s="95">
        <v>8</v>
      </c>
      <c r="I476" s="95"/>
      <c r="J476" s="95" t="s">
        <v>60</v>
      </c>
      <c r="K476" s="95" t="b">
        <v>0</v>
      </c>
      <c r="L476" s="95">
        <v>1</v>
      </c>
      <c r="M476" s="96">
        <v>2026</v>
      </c>
      <c r="N476" s="97">
        <v>0</v>
      </c>
      <c r="O476" s="98">
        <v>46020</v>
      </c>
      <c r="P476" s="98">
        <v>46020</v>
      </c>
      <c r="Q476" s="99">
        <v>0</v>
      </c>
    </row>
    <row r="477" spans="1:17">
      <c r="A477" s="7">
        <v>2025</v>
      </c>
      <c r="B477" s="8" t="s">
        <v>434</v>
      </c>
      <c r="C477" s="94" t="s">
        <v>435</v>
      </c>
      <c r="D477" s="95">
        <v>3215062</v>
      </c>
      <c r="E477" s="95">
        <v>2</v>
      </c>
      <c r="F477" s="95"/>
      <c r="G477" s="95">
        <v>80000</v>
      </c>
      <c r="H477" s="95">
        <v>8</v>
      </c>
      <c r="I477" s="95"/>
      <c r="J477" s="95" t="s">
        <v>60</v>
      </c>
      <c r="K477" s="95" t="b">
        <v>0</v>
      </c>
      <c r="L477" s="95">
        <v>10</v>
      </c>
      <c r="M477" s="96">
        <v>2035</v>
      </c>
      <c r="N477" s="97">
        <v>0</v>
      </c>
      <c r="O477" s="98">
        <v>46020</v>
      </c>
      <c r="P477" s="98">
        <v>46020</v>
      </c>
      <c r="Q477" s="99">
        <v>0</v>
      </c>
    </row>
    <row r="478" spans="1:17">
      <c r="A478" s="7">
        <v>2025</v>
      </c>
      <c r="B478" s="8" t="s">
        <v>434</v>
      </c>
      <c r="C478" s="94" t="s">
        <v>435</v>
      </c>
      <c r="D478" s="95">
        <v>3215062</v>
      </c>
      <c r="E478" s="95">
        <v>2</v>
      </c>
      <c r="F478" s="95"/>
      <c r="G478" s="95">
        <v>80000</v>
      </c>
      <c r="H478" s="95">
        <v>8</v>
      </c>
      <c r="I478" s="95"/>
      <c r="J478" s="95" t="s">
        <v>60</v>
      </c>
      <c r="K478" s="95" t="b">
        <v>0</v>
      </c>
      <c r="L478" s="95">
        <v>8</v>
      </c>
      <c r="M478" s="96">
        <v>2033</v>
      </c>
      <c r="N478" s="97">
        <v>0</v>
      </c>
      <c r="O478" s="98">
        <v>46020</v>
      </c>
      <c r="P478" s="98">
        <v>46020</v>
      </c>
      <c r="Q478" s="99">
        <v>0</v>
      </c>
    </row>
    <row r="479" spans="1:17">
      <c r="A479" s="7">
        <v>2025</v>
      </c>
      <c r="B479" s="8" t="s">
        <v>434</v>
      </c>
      <c r="C479" s="94" t="s">
        <v>435</v>
      </c>
      <c r="D479" s="95">
        <v>3215062</v>
      </c>
      <c r="E479" s="95">
        <v>2</v>
      </c>
      <c r="F479" s="95"/>
      <c r="G479" s="95">
        <v>80000</v>
      </c>
      <c r="H479" s="95">
        <v>8</v>
      </c>
      <c r="I479" s="95"/>
      <c r="J479" s="95" t="s">
        <v>60</v>
      </c>
      <c r="K479" s="95" t="b">
        <v>0</v>
      </c>
      <c r="L479" s="95">
        <v>0</v>
      </c>
      <c r="M479" s="96">
        <v>2025</v>
      </c>
      <c r="N479" s="97">
        <v>0</v>
      </c>
      <c r="O479" s="98">
        <v>46020</v>
      </c>
      <c r="P479" s="98">
        <v>46020</v>
      </c>
      <c r="Q479" s="99">
        <v>0</v>
      </c>
    </row>
    <row r="480" spans="1:17">
      <c r="A480" s="7">
        <v>2025</v>
      </c>
      <c r="B480" s="8" t="s">
        <v>434</v>
      </c>
      <c r="C480" s="94" t="s">
        <v>435</v>
      </c>
      <c r="D480" s="95">
        <v>3215062</v>
      </c>
      <c r="E480" s="95">
        <v>2</v>
      </c>
      <c r="F480" s="95"/>
      <c r="G480" s="95">
        <v>80000</v>
      </c>
      <c r="H480" s="95">
        <v>8</v>
      </c>
      <c r="I480" s="95"/>
      <c r="J480" s="95" t="s">
        <v>60</v>
      </c>
      <c r="K480" s="95" t="b">
        <v>0</v>
      </c>
      <c r="L480" s="95">
        <v>9</v>
      </c>
      <c r="M480" s="96">
        <v>2034</v>
      </c>
      <c r="N480" s="97">
        <v>0</v>
      </c>
      <c r="O480" s="98">
        <v>46020</v>
      </c>
      <c r="P480" s="98">
        <v>46020</v>
      </c>
      <c r="Q480" s="99">
        <v>0</v>
      </c>
    </row>
    <row r="481" spans="1:17">
      <c r="A481" s="7">
        <v>2025</v>
      </c>
      <c r="B481" s="8" t="s">
        <v>434</v>
      </c>
      <c r="C481" s="94" t="s">
        <v>435</v>
      </c>
      <c r="D481" s="95">
        <v>3215062</v>
      </c>
      <c r="E481" s="95">
        <v>2</v>
      </c>
      <c r="F481" s="95"/>
      <c r="G481" s="95">
        <v>80000</v>
      </c>
      <c r="H481" s="95">
        <v>8</v>
      </c>
      <c r="I481" s="95"/>
      <c r="J481" s="95" t="s">
        <v>60</v>
      </c>
      <c r="K481" s="95" t="b">
        <v>0</v>
      </c>
      <c r="L481" s="95">
        <v>2</v>
      </c>
      <c r="M481" s="96">
        <v>2027</v>
      </c>
      <c r="N481" s="97">
        <v>0</v>
      </c>
      <c r="O481" s="98">
        <v>46020</v>
      </c>
      <c r="P481" s="98">
        <v>46020</v>
      </c>
      <c r="Q481" s="99">
        <v>0</v>
      </c>
    </row>
    <row r="482" spans="1:17">
      <c r="A482" s="7">
        <v>2025</v>
      </c>
      <c r="B482" s="8" t="s">
        <v>434</v>
      </c>
      <c r="C482" s="94" t="s">
        <v>435</v>
      </c>
      <c r="D482" s="95">
        <v>3215062</v>
      </c>
      <c r="E482" s="95">
        <v>2</v>
      </c>
      <c r="F482" s="95"/>
      <c r="G482" s="95">
        <v>80000</v>
      </c>
      <c r="H482" s="95">
        <v>8</v>
      </c>
      <c r="I482" s="95"/>
      <c r="J482" s="95" t="s">
        <v>60</v>
      </c>
      <c r="K482" s="95" t="b">
        <v>0</v>
      </c>
      <c r="L482" s="95">
        <v>7</v>
      </c>
      <c r="M482" s="96">
        <v>2032</v>
      </c>
      <c r="N482" s="97">
        <v>0</v>
      </c>
      <c r="O482" s="98">
        <v>46020</v>
      </c>
      <c r="P482" s="98">
        <v>46020</v>
      </c>
      <c r="Q482" s="99">
        <v>0</v>
      </c>
    </row>
    <row r="483" spans="1:17">
      <c r="A483" s="7">
        <v>2025</v>
      </c>
      <c r="B483" s="8" t="s">
        <v>434</v>
      </c>
      <c r="C483" s="94" t="s">
        <v>435</v>
      </c>
      <c r="D483" s="95">
        <v>3215062</v>
      </c>
      <c r="E483" s="95">
        <v>2</v>
      </c>
      <c r="F483" s="95"/>
      <c r="G483" s="95">
        <v>20000</v>
      </c>
      <c r="H483" s="95">
        <v>2</v>
      </c>
      <c r="I483" s="95" t="s">
        <v>445</v>
      </c>
      <c r="J483" s="95" t="s">
        <v>17</v>
      </c>
      <c r="K483" s="95" t="b">
        <v>0</v>
      </c>
      <c r="L483" s="95">
        <v>13</v>
      </c>
      <c r="M483" s="96">
        <v>2038</v>
      </c>
      <c r="N483" s="97">
        <v>77169742</v>
      </c>
      <c r="O483" s="98">
        <v>46020</v>
      </c>
      <c r="P483" s="98">
        <v>46020</v>
      </c>
      <c r="Q483" s="99">
        <v>0</v>
      </c>
    </row>
    <row r="484" spans="1:17">
      <c r="A484" s="7">
        <v>2025</v>
      </c>
      <c r="B484" s="8" t="s">
        <v>434</v>
      </c>
      <c r="C484" s="94" t="s">
        <v>435</v>
      </c>
      <c r="D484" s="95">
        <v>3215062</v>
      </c>
      <c r="E484" s="95">
        <v>2</v>
      </c>
      <c r="F484" s="95"/>
      <c r="G484" s="95">
        <v>20000</v>
      </c>
      <c r="H484" s="95">
        <v>2</v>
      </c>
      <c r="I484" s="95" t="s">
        <v>445</v>
      </c>
      <c r="J484" s="95" t="s">
        <v>17</v>
      </c>
      <c r="K484" s="95" t="b">
        <v>0</v>
      </c>
      <c r="L484" s="95">
        <v>11</v>
      </c>
      <c r="M484" s="96">
        <v>2036</v>
      </c>
      <c r="N484" s="97">
        <v>73452511</v>
      </c>
      <c r="O484" s="98">
        <v>46020</v>
      </c>
      <c r="P484" s="98">
        <v>46020</v>
      </c>
      <c r="Q484" s="99">
        <v>0</v>
      </c>
    </row>
    <row r="485" spans="1:17">
      <c r="A485" s="7">
        <v>2025</v>
      </c>
      <c r="B485" s="8" t="s">
        <v>434</v>
      </c>
      <c r="C485" s="94" t="s">
        <v>435</v>
      </c>
      <c r="D485" s="95">
        <v>3215062</v>
      </c>
      <c r="E485" s="95">
        <v>2</v>
      </c>
      <c r="F485" s="95"/>
      <c r="G485" s="95">
        <v>20000</v>
      </c>
      <c r="H485" s="95">
        <v>2</v>
      </c>
      <c r="I485" s="95" t="s">
        <v>445</v>
      </c>
      <c r="J485" s="95" t="s">
        <v>17</v>
      </c>
      <c r="K485" s="95" t="b">
        <v>0</v>
      </c>
      <c r="L485" s="95">
        <v>4</v>
      </c>
      <c r="M485" s="96">
        <v>2029</v>
      </c>
      <c r="N485" s="97">
        <v>61516108.890000001</v>
      </c>
      <c r="O485" s="98">
        <v>46020</v>
      </c>
      <c r="P485" s="98">
        <v>46020</v>
      </c>
      <c r="Q485" s="99">
        <v>0</v>
      </c>
    </row>
    <row r="486" spans="1:17">
      <c r="A486" s="7">
        <v>2025</v>
      </c>
      <c r="B486" s="8" t="s">
        <v>434</v>
      </c>
      <c r="C486" s="94" t="s">
        <v>435</v>
      </c>
      <c r="D486" s="95">
        <v>3215062</v>
      </c>
      <c r="E486" s="95">
        <v>2</v>
      </c>
      <c r="F486" s="95"/>
      <c r="G486" s="95">
        <v>20000</v>
      </c>
      <c r="H486" s="95">
        <v>2</v>
      </c>
      <c r="I486" s="95" t="s">
        <v>445</v>
      </c>
      <c r="J486" s="95" t="s">
        <v>17</v>
      </c>
      <c r="K486" s="95" t="b">
        <v>0</v>
      </c>
      <c r="L486" s="95">
        <v>12</v>
      </c>
      <c r="M486" s="96">
        <v>2037</v>
      </c>
      <c r="N486" s="97">
        <v>75288181</v>
      </c>
      <c r="O486" s="98">
        <v>46020</v>
      </c>
      <c r="P486" s="98">
        <v>46020</v>
      </c>
      <c r="Q486" s="99">
        <v>0</v>
      </c>
    </row>
    <row r="487" spans="1:17">
      <c r="A487" s="7">
        <v>2025</v>
      </c>
      <c r="B487" s="8" t="s">
        <v>434</v>
      </c>
      <c r="C487" s="94" t="s">
        <v>435</v>
      </c>
      <c r="D487" s="95">
        <v>3215062</v>
      </c>
      <c r="E487" s="95">
        <v>2</v>
      </c>
      <c r="F487" s="95"/>
      <c r="G487" s="95">
        <v>20000</v>
      </c>
      <c r="H487" s="95">
        <v>2</v>
      </c>
      <c r="I487" s="95" t="s">
        <v>445</v>
      </c>
      <c r="J487" s="95" t="s">
        <v>17</v>
      </c>
      <c r="K487" s="95" t="b">
        <v>0</v>
      </c>
      <c r="L487" s="95">
        <v>9</v>
      </c>
      <c r="M487" s="96">
        <v>2034</v>
      </c>
      <c r="N487" s="97">
        <v>69982995.400000006</v>
      </c>
      <c r="O487" s="98">
        <v>46020</v>
      </c>
      <c r="P487" s="98">
        <v>46020</v>
      </c>
      <c r="Q487" s="99">
        <v>0</v>
      </c>
    </row>
    <row r="488" spans="1:17">
      <c r="A488" s="7">
        <v>2025</v>
      </c>
      <c r="B488" s="8" t="s">
        <v>434</v>
      </c>
      <c r="C488" s="94" t="s">
        <v>435</v>
      </c>
      <c r="D488" s="95">
        <v>3215062</v>
      </c>
      <c r="E488" s="95">
        <v>2</v>
      </c>
      <c r="F488" s="95"/>
      <c r="G488" s="95">
        <v>20000</v>
      </c>
      <c r="H488" s="95">
        <v>2</v>
      </c>
      <c r="I488" s="95" t="s">
        <v>445</v>
      </c>
      <c r="J488" s="95" t="s">
        <v>17</v>
      </c>
      <c r="K488" s="95" t="b">
        <v>0</v>
      </c>
      <c r="L488" s="95">
        <v>5</v>
      </c>
      <c r="M488" s="96">
        <v>2030</v>
      </c>
      <c r="N488" s="97">
        <v>64090012.399999999</v>
      </c>
      <c r="O488" s="98">
        <v>46020</v>
      </c>
      <c r="P488" s="98">
        <v>46020</v>
      </c>
      <c r="Q488" s="99">
        <v>0</v>
      </c>
    </row>
    <row r="489" spans="1:17">
      <c r="A489" s="7">
        <v>2025</v>
      </c>
      <c r="B489" s="8" t="s">
        <v>434</v>
      </c>
      <c r="C489" s="94" t="s">
        <v>435</v>
      </c>
      <c r="D489" s="95">
        <v>3215062</v>
      </c>
      <c r="E489" s="95">
        <v>2</v>
      </c>
      <c r="F489" s="95"/>
      <c r="G489" s="95">
        <v>20000</v>
      </c>
      <c r="H489" s="95">
        <v>2</v>
      </c>
      <c r="I489" s="95" t="s">
        <v>445</v>
      </c>
      <c r="J489" s="95" t="s">
        <v>17</v>
      </c>
      <c r="K489" s="95" t="b">
        <v>0</v>
      </c>
      <c r="L489" s="95">
        <v>10</v>
      </c>
      <c r="M489" s="96">
        <v>2035</v>
      </c>
      <c r="N489" s="97">
        <v>71730211.400000006</v>
      </c>
      <c r="O489" s="98">
        <v>46020</v>
      </c>
      <c r="P489" s="98">
        <v>46020</v>
      </c>
      <c r="Q489" s="99">
        <v>0</v>
      </c>
    </row>
    <row r="490" spans="1:17">
      <c r="A490" s="7">
        <v>2025</v>
      </c>
      <c r="B490" s="8" t="s">
        <v>434</v>
      </c>
      <c r="C490" s="94" t="s">
        <v>435</v>
      </c>
      <c r="D490" s="95">
        <v>3215062</v>
      </c>
      <c r="E490" s="95">
        <v>2</v>
      </c>
      <c r="F490" s="95"/>
      <c r="G490" s="95">
        <v>20000</v>
      </c>
      <c r="H490" s="95">
        <v>2</v>
      </c>
      <c r="I490" s="95" t="s">
        <v>445</v>
      </c>
      <c r="J490" s="95" t="s">
        <v>17</v>
      </c>
      <c r="K490" s="95" t="b">
        <v>0</v>
      </c>
      <c r="L490" s="95">
        <v>3</v>
      </c>
      <c r="M490" s="96">
        <v>2028</v>
      </c>
      <c r="N490" s="97">
        <v>65219092.399999999</v>
      </c>
      <c r="O490" s="98">
        <v>46020</v>
      </c>
      <c r="P490" s="98">
        <v>46020</v>
      </c>
      <c r="Q490" s="99">
        <v>0</v>
      </c>
    </row>
    <row r="491" spans="1:17">
      <c r="A491" s="7">
        <v>2025</v>
      </c>
      <c r="B491" s="8" t="s">
        <v>434</v>
      </c>
      <c r="C491" s="94" t="s">
        <v>435</v>
      </c>
      <c r="D491" s="95">
        <v>3215062</v>
      </c>
      <c r="E491" s="95">
        <v>2</v>
      </c>
      <c r="F491" s="95"/>
      <c r="G491" s="95">
        <v>20000</v>
      </c>
      <c r="H491" s="95">
        <v>2</v>
      </c>
      <c r="I491" s="95" t="s">
        <v>445</v>
      </c>
      <c r="J491" s="95" t="s">
        <v>17</v>
      </c>
      <c r="K491" s="95" t="b">
        <v>0</v>
      </c>
      <c r="L491" s="95">
        <v>2</v>
      </c>
      <c r="M491" s="96">
        <v>2027</v>
      </c>
      <c r="N491" s="97">
        <v>69322726.060000002</v>
      </c>
      <c r="O491" s="98">
        <v>46020</v>
      </c>
      <c r="P491" s="98">
        <v>46020</v>
      </c>
      <c r="Q491" s="99">
        <v>0</v>
      </c>
    </row>
    <row r="492" spans="1:17">
      <c r="A492" s="7">
        <v>2025</v>
      </c>
      <c r="B492" s="8" t="s">
        <v>434</v>
      </c>
      <c r="C492" s="94" t="s">
        <v>435</v>
      </c>
      <c r="D492" s="95">
        <v>3215062</v>
      </c>
      <c r="E492" s="95">
        <v>2</v>
      </c>
      <c r="F492" s="95"/>
      <c r="G492" s="95">
        <v>20000</v>
      </c>
      <c r="H492" s="95">
        <v>2</v>
      </c>
      <c r="I492" s="95" t="s">
        <v>445</v>
      </c>
      <c r="J492" s="95" t="s">
        <v>17</v>
      </c>
      <c r="K492" s="95" t="b">
        <v>0</v>
      </c>
      <c r="L492" s="95">
        <v>6</v>
      </c>
      <c r="M492" s="96">
        <v>2031</v>
      </c>
      <c r="N492" s="97">
        <v>64992903.399999999</v>
      </c>
      <c r="O492" s="98">
        <v>46020</v>
      </c>
      <c r="P492" s="98">
        <v>46020</v>
      </c>
      <c r="Q492" s="99">
        <v>0</v>
      </c>
    </row>
    <row r="493" spans="1:17">
      <c r="A493" s="7">
        <v>2025</v>
      </c>
      <c r="B493" s="8" t="s">
        <v>434</v>
      </c>
      <c r="C493" s="94" t="s">
        <v>435</v>
      </c>
      <c r="D493" s="95">
        <v>3215062</v>
      </c>
      <c r="E493" s="95">
        <v>2</v>
      </c>
      <c r="F493" s="95"/>
      <c r="G493" s="95">
        <v>20000</v>
      </c>
      <c r="H493" s="95">
        <v>2</v>
      </c>
      <c r="I493" s="95" t="s">
        <v>445</v>
      </c>
      <c r="J493" s="95" t="s">
        <v>17</v>
      </c>
      <c r="K493" s="95" t="b">
        <v>0</v>
      </c>
      <c r="L493" s="95">
        <v>1</v>
      </c>
      <c r="M493" s="96">
        <v>2026</v>
      </c>
      <c r="N493" s="97">
        <v>71180981.400000006</v>
      </c>
      <c r="O493" s="98">
        <v>46020</v>
      </c>
      <c r="P493" s="98">
        <v>46020</v>
      </c>
      <c r="Q493" s="99">
        <v>0</v>
      </c>
    </row>
    <row r="494" spans="1:17">
      <c r="A494" s="7">
        <v>2025</v>
      </c>
      <c r="B494" s="8" t="s">
        <v>434</v>
      </c>
      <c r="C494" s="94" t="s">
        <v>435</v>
      </c>
      <c r="D494" s="95">
        <v>3215062</v>
      </c>
      <c r="E494" s="95">
        <v>2</v>
      </c>
      <c r="F494" s="95"/>
      <c r="G494" s="95">
        <v>20000</v>
      </c>
      <c r="H494" s="95">
        <v>2</v>
      </c>
      <c r="I494" s="95" t="s">
        <v>445</v>
      </c>
      <c r="J494" s="95" t="s">
        <v>17</v>
      </c>
      <c r="K494" s="95" t="b">
        <v>0</v>
      </c>
      <c r="L494" s="95">
        <v>7</v>
      </c>
      <c r="M494" s="96">
        <v>2032</v>
      </c>
      <c r="N494" s="97">
        <v>66615368.399999999</v>
      </c>
      <c r="O494" s="98">
        <v>46020</v>
      </c>
      <c r="P494" s="98">
        <v>46020</v>
      </c>
      <c r="Q494" s="99">
        <v>0</v>
      </c>
    </row>
    <row r="495" spans="1:17">
      <c r="A495" s="7">
        <v>2025</v>
      </c>
      <c r="B495" s="8" t="s">
        <v>434</v>
      </c>
      <c r="C495" s="94" t="s">
        <v>435</v>
      </c>
      <c r="D495" s="95">
        <v>3215062</v>
      </c>
      <c r="E495" s="95">
        <v>2</v>
      </c>
      <c r="F495" s="95"/>
      <c r="G495" s="95">
        <v>20000</v>
      </c>
      <c r="H495" s="95">
        <v>2</v>
      </c>
      <c r="I495" s="95" t="s">
        <v>445</v>
      </c>
      <c r="J495" s="95" t="s">
        <v>17</v>
      </c>
      <c r="K495" s="95" t="b">
        <v>0</v>
      </c>
      <c r="L495" s="95">
        <v>8</v>
      </c>
      <c r="M495" s="96">
        <v>2033</v>
      </c>
      <c r="N495" s="97">
        <v>68278394.400000006</v>
      </c>
      <c r="O495" s="98">
        <v>46020</v>
      </c>
      <c r="P495" s="98">
        <v>46020</v>
      </c>
      <c r="Q495" s="99">
        <v>0</v>
      </c>
    </row>
    <row r="496" spans="1:17">
      <c r="A496" s="7">
        <v>2025</v>
      </c>
      <c r="B496" s="8" t="s">
        <v>434</v>
      </c>
      <c r="C496" s="94" t="s">
        <v>435</v>
      </c>
      <c r="D496" s="95">
        <v>3215062</v>
      </c>
      <c r="E496" s="95">
        <v>2</v>
      </c>
      <c r="F496" s="95"/>
      <c r="G496" s="95">
        <v>20000</v>
      </c>
      <c r="H496" s="95">
        <v>2</v>
      </c>
      <c r="I496" s="95" t="s">
        <v>445</v>
      </c>
      <c r="J496" s="95" t="s">
        <v>17</v>
      </c>
      <c r="K496" s="95" t="b">
        <v>0</v>
      </c>
      <c r="L496" s="95">
        <v>0</v>
      </c>
      <c r="M496" s="96">
        <v>2025</v>
      </c>
      <c r="N496" s="97">
        <v>88881042.430000007</v>
      </c>
      <c r="O496" s="98">
        <v>46020</v>
      </c>
      <c r="P496" s="98">
        <v>46020</v>
      </c>
      <c r="Q496" s="99">
        <v>0</v>
      </c>
    </row>
    <row r="497" spans="1:17">
      <c r="A497" s="7">
        <v>2025</v>
      </c>
      <c r="B497" s="8" t="s">
        <v>434</v>
      </c>
      <c r="C497" s="94" t="s">
        <v>435</v>
      </c>
      <c r="D497" s="95">
        <v>3215062</v>
      </c>
      <c r="E497" s="95">
        <v>2</v>
      </c>
      <c r="F497" s="95"/>
      <c r="G497" s="95">
        <v>107211</v>
      </c>
      <c r="H497" s="95" t="s">
        <v>224</v>
      </c>
      <c r="I497" s="95"/>
      <c r="J497" s="95" t="s">
        <v>185</v>
      </c>
      <c r="K497" s="95" t="b">
        <v>1</v>
      </c>
      <c r="L497" s="95">
        <v>1</v>
      </c>
      <c r="M497" s="96">
        <v>2026</v>
      </c>
      <c r="N497" s="97">
        <v>0</v>
      </c>
      <c r="O497" s="98">
        <v>46020</v>
      </c>
      <c r="P497" s="98">
        <v>46020</v>
      </c>
      <c r="Q497" s="99">
        <v>0</v>
      </c>
    </row>
    <row r="498" spans="1:17">
      <c r="A498" s="7">
        <v>2025</v>
      </c>
      <c r="B498" s="8" t="s">
        <v>434</v>
      </c>
      <c r="C498" s="94" t="s">
        <v>435</v>
      </c>
      <c r="D498" s="95">
        <v>3215062</v>
      </c>
      <c r="E498" s="95">
        <v>2</v>
      </c>
      <c r="F498" s="95"/>
      <c r="G498" s="95">
        <v>107211</v>
      </c>
      <c r="H498" s="95" t="s">
        <v>224</v>
      </c>
      <c r="I498" s="95"/>
      <c r="J498" s="95" t="s">
        <v>185</v>
      </c>
      <c r="K498" s="95" t="b">
        <v>1</v>
      </c>
      <c r="L498" s="95">
        <v>7</v>
      </c>
      <c r="M498" s="96">
        <v>2032</v>
      </c>
      <c r="N498" s="97">
        <v>0</v>
      </c>
      <c r="O498" s="98">
        <v>46020</v>
      </c>
      <c r="P498" s="98">
        <v>46020</v>
      </c>
      <c r="Q498" s="99">
        <v>0</v>
      </c>
    </row>
    <row r="499" spans="1:17">
      <c r="A499" s="7">
        <v>2025</v>
      </c>
      <c r="B499" s="8" t="s">
        <v>434</v>
      </c>
      <c r="C499" s="94" t="s">
        <v>435</v>
      </c>
      <c r="D499" s="95">
        <v>3215062</v>
      </c>
      <c r="E499" s="95">
        <v>2</v>
      </c>
      <c r="F499" s="95"/>
      <c r="G499" s="95">
        <v>107211</v>
      </c>
      <c r="H499" s="95" t="s">
        <v>224</v>
      </c>
      <c r="I499" s="95"/>
      <c r="J499" s="95" t="s">
        <v>185</v>
      </c>
      <c r="K499" s="95" t="b">
        <v>1</v>
      </c>
      <c r="L499" s="95">
        <v>6</v>
      </c>
      <c r="M499" s="96">
        <v>2031</v>
      </c>
      <c r="N499" s="97">
        <v>0</v>
      </c>
      <c r="O499" s="98">
        <v>46020</v>
      </c>
      <c r="P499" s="98">
        <v>46020</v>
      </c>
      <c r="Q499" s="99">
        <v>0</v>
      </c>
    </row>
    <row r="500" spans="1:17">
      <c r="A500" s="7">
        <v>2025</v>
      </c>
      <c r="B500" s="8" t="s">
        <v>434</v>
      </c>
      <c r="C500" s="94" t="s">
        <v>435</v>
      </c>
      <c r="D500" s="95">
        <v>3215062</v>
      </c>
      <c r="E500" s="95">
        <v>2</v>
      </c>
      <c r="F500" s="95"/>
      <c r="G500" s="95">
        <v>107211</v>
      </c>
      <c r="H500" s="95" t="s">
        <v>224</v>
      </c>
      <c r="I500" s="95"/>
      <c r="J500" s="95" t="s">
        <v>185</v>
      </c>
      <c r="K500" s="95" t="b">
        <v>1</v>
      </c>
      <c r="L500" s="95">
        <v>0</v>
      </c>
      <c r="M500" s="96">
        <v>2025</v>
      </c>
      <c r="N500" s="97">
        <v>0</v>
      </c>
      <c r="O500" s="98">
        <v>46020</v>
      </c>
      <c r="P500" s="98">
        <v>46020</v>
      </c>
      <c r="Q500" s="99">
        <v>0</v>
      </c>
    </row>
    <row r="501" spans="1:17">
      <c r="A501" s="7">
        <v>2025</v>
      </c>
      <c r="B501" s="8" t="s">
        <v>434</v>
      </c>
      <c r="C501" s="94" t="s">
        <v>435</v>
      </c>
      <c r="D501" s="95">
        <v>3215062</v>
      </c>
      <c r="E501" s="95">
        <v>2</v>
      </c>
      <c r="F501" s="95"/>
      <c r="G501" s="95">
        <v>107211</v>
      </c>
      <c r="H501" s="95" t="s">
        <v>224</v>
      </c>
      <c r="I501" s="95"/>
      <c r="J501" s="95" t="s">
        <v>185</v>
      </c>
      <c r="K501" s="95" t="b">
        <v>1</v>
      </c>
      <c r="L501" s="95">
        <v>3</v>
      </c>
      <c r="M501" s="96">
        <v>2028</v>
      </c>
      <c r="N501" s="97">
        <v>0</v>
      </c>
      <c r="O501" s="98">
        <v>46020</v>
      </c>
      <c r="P501" s="98">
        <v>46020</v>
      </c>
      <c r="Q501" s="99">
        <v>0</v>
      </c>
    </row>
    <row r="502" spans="1:17">
      <c r="A502" s="7">
        <v>2025</v>
      </c>
      <c r="B502" s="8" t="s">
        <v>434</v>
      </c>
      <c r="C502" s="94" t="s">
        <v>435</v>
      </c>
      <c r="D502" s="95">
        <v>3215062</v>
      </c>
      <c r="E502" s="95">
        <v>2</v>
      </c>
      <c r="F502" s="95"/>
      <c r="G502" s="95">
        <v>107211</v>
      </c>
      <c r="H502" s="95" t="s">
        <v>224</v>
      </c>
      <c r="I502" s="95"/>
      <c r="J502" s="95" t="s">
        <v>185</v>
      </c>
      <c r="K502" s="95" t="b">
        <v>1</v>
      </c>
      <c r="L502" s="95">
        <v>8</v>
      </c>
      <c r="M502" s="96">
        <v>2033</v>
      </c>
      <c r="N502" s="97">
        <v>0</v>
      </c>
      <c r="O502" s="98">
        <v>46020</v>
      </c>
      <c r="P502" s="98">
        <v>46020</v>
      </c>
      <c r="Q502" s="99">
        <v>0</v>
      </c>
    </row>
    <row r="503" spans="1:17">
      <c r="A503" s="7">
        <v>2025</v>
      </c>
      <c r="B503" s="8" t="s">
        <v>434</v>
      </c>
      <c r="C503" s="94" t="s">
        <v>435</v>
      </c>
      <c r="D503" s="95">
        <v>3215062</v>
      </c>
      <c r="E503" s="95">
        <v>2</v>
      </c>
      <c r="F503" s="95"/>
      <c r="G503" s="95">
        <v>107211</v>
      </c>
      <c r="H503" s="95" t="s">
        <v>224</v>
      </c>
      <c r="I503" s="95"/>
      <c r="J503" s="95" t="s">
        <v>185</v>
      </c>
      <c r="K503" s="95" t="b">
        <v>1</v>
      </c>
      <c r="L503" s="95">
        <v>9</v>
      </c>
      <c r="M503" s="96">
        <v>2034</v>
      </c>
      <c r="N503" s="97">
        <v>0</v>
      </c>
      <c r="O503" s="98">
        <v>46020</v>
      </c>
      <c r="P503" s="98">
        <v>46020</v>
      </c>
      <c r="Q503" s="99">
        <v>0</v>
      </c>
    </row>
    <row r="504" spans="1:17">
      <c r="A504" s="7">
        <v>2025</v>
      </c>
      <c r="B504" s="8" t="s">
        <v>434</v>
      </c>
      <c r="C504" s="94" t="s">
        <v>435</v>
      </c>
      <c r="D504" s="95">
        <v>3215062</v>
      </c>
      <c r="E504" s="95">
        <v>2</v>
      </c>
      <c r="F504" s="95"/>
      <c r="G504" s="95">
        <v>107211</v>
      </c>
      <c r="H504" s="95" t="s">
        <v>224</v>
      </c>
      <c r="I504" s="95"/>
      <c r="J504" s="95" t="s">
        <v>185</v>
      </c>
      <c r="K504" s="95" t="b">
        <v>1</v>
      </c>
      <c r="L504" s="95">
        <v>2</v>
      </c>
      <c r="M504" s="96">
        <v>2027</v>
      </c>
      <c r="N504" s="97">
        <v>0</v>
      </c>
      <c r="O504" s="98">
        <v>46020</v>
      </c>
      <c r="P504" s="98">
        <v>46020</v>
      </c>
      <c r="Q504" s="99">
        <v>0</v>
      </c>
    </row>
    <row r="505" spans="1:17">
      <c r="A505" s="7">
        <v>2025</v>
      </c>
      <c r="B505" s="8" t="s">
        <v>434</v>
      </c>
      <c r="C505" s="94" t="s">
        <v>435</v>
      </c>
      <c r="D505" s="95">
        <v>3215062</v>
      </c>
      <c r="E505" s="95">
        <v>2</v>
      </c>
      <c r="F505" s="95"/>
      <c r="G505" s="95">
        <v>107211</v>
      </c>
      <c r="H505" s="95" t="s">
        <v>224</v>
      </c>
      <c r="I505" s="95"/>
      <c r="J505" s="95" t="s">
        <v>185</v>
      </c>
      <c r="K505" s="95" t="b">
        <v>1</v>
      </c>
      <c r="L505" s="95">
        <v>11</v>
      </c>
      <c r="M505" s="96">
        <v>2036</v>
      </c>
      <c r="N505" s="97">
        <v>0</v>
      </c>
      <c r="O505" s="98">
        <v>46020</v>
      </c>
      <c r="P505" s="98">
        <v>46020</v>
      </c>
      <c r="Q505" s="99">
        <v>0</v>
      </c>
    </row>
    <row r="506" spans="1:17">
      <c r="A506" s="7">
        <v>2025</v>
      </c>
      <c r="B506" s="8" t="s">
        <v>434</v>
      </c>
      <c r="C506" s="94" t="s">
        <v>435</v>
      </c>
      <c r="D506" s="95">
        <v>3215062</v>
      </c>
      <c r="E506" s="95">
        <v>2</v>
      </c>
      <c r="F506" s="95"/>
      <c r="G506" s="95">
        <v>107211</v>
      </c>
      <c r="H506" s="95" t="s">
        <v>224</v>
      </c>
      <c r="I506" s="95"/>
      <c r="J506" s="95" t="s">
        <v>185</v>
      </c>
      <c r="K506" s="95" t="b">
        <v>1</v>
      </c>
      <c r="L506" s="95">
        <v>5</v>
      </c>
      <c r="M506" s="96">
        <v>2030</v>
      </c>
      <c r="N506" s="97">
        <v>0</v>
      </c>
      <c r="O506" s="98">
        <v>46020</v>
      </c>
      <c r="P506" s="98">
        <v>46020</v>
      </c>
      <c r="Q506" s="99">
        <v>0</v>
      </c>
    </row>
    <row r="507" spans="1:17">
      <c r="A507" s="7">
        <v>2025</v>
      </c>
      <c r="B507" s="8" t="s">
        <v>434</v>
      </c>
      <c r="C507" s="94" t="s">
        <v>435</v>
      </c>
      <c r="D507" s="95">
        <v>3215062</v>
      </c>
      <c r="E507" s="95">
        <v>2</v>
      </c>
      <c r="F507" s="95"/>
      <c r="G507" s="95">
        <v>107211</v>
      </c>
      <c r="H507" s="95" t="s">
        <v>224</v>
      </c>
      <c r="I507" s="95"/>
      <c r="J507" s="95" t="s">
        <v>185</v>
      </c>
      <c r="K507" s="95" t="b">
        <v>1</v>
      </c>
      <c r="L507" s="95">
        <v>13</v>
      </c>
      <c r="M507" s="96">
        <v>2038</v>
      </c>
      <c r="N507" s="97">
        <v>0</v>
      </c>
      <c r="O507" s="98">
        <v>46020</v>
      </c>
      <c r="P507" s="98">
        <v>46020</v>
      </c>
      <c r="Q507" s="99">
        <v>0</v>
      </c>
    </row>
    <row r="508" spans="1:17">
      <c r="A508" s="7">
        <v>2025</v>
      </c>
      <c r="B508" s="8" t="s">
        <v>434</v>
      </c>
      <c r="C508" s="94" t="s">
        <v>435</v>
      </c>
      <c r="D508" s="95">
        <v>3215062</v>
      </c>
      <c r="E508" s="95">
        <v>2</v>
      </c>
      <c r="F508" s="95"/>
      <c r="G508" s="95">
        <v>107211</v>
      </c>
      <c r="H508" s="95" t="s">
        <v>224</v>
      </c>
      <c r="I508" s="95"/>
      <c r="J508" s="95" t="s">
        <v>185</v>
      </c>
      <c r="K508" s="95" t="b">
        <v>1</v>
      </c>
      <c r="L508" s="95">
        <v>10</v>
      </c>
      <c r="M508" s="96">
        <v>2035</v>
      </c>
      <c r="N508" s="97">
        <v>0</v>
      </c>
      <c r="O508" s="98">
        <v>46020</v>
      </c>
      <c r="P508" s="98">
        <v>46020</v>
      </c>
      <c r="Q508" s="99">
        <v>0</v>
      </c>
    </row>
    <row r="509" spans="1:17">
      <c r="A509" s="7">
        <v>2025</v>
      </c>
      <c r="B509" s="8" t="s">
        <v>434</v>
      </c>
      <c r="C509" s="94" t="s">
        <v>435</v>
      </c>
      <c r="D509" s="95">
        <v>3215062</v>
      </c>
      <c r="E509" s="95">
        <v>2</v>
      </c>
      <c r="F509" s="95"/>
      <c r="G509" s="95">
        <v>107211</v>
      </c>
      <c r="H509" s="95" t="s">
        <v>224</v>
      </c>
      <c r="I509" s="95"/>
      <c r="J509" s="95" t="s">
        <v>185</v>
      </c>
      <c r="K509" s="95" t="b">
        <v>1</v>
      </c>
      <c r="L509" s="95">
        <v>12</v>
      </c>
      <c r="M509" s="96">
        <v>2037</v>
      </c>
      <c r="N509" s="97">
        <v>0</v>
      </c>
      <c r="O509" s="98">
        <v>46020</v>
      </c>
      <c r="P509" s="98">
        <v>46020</v>
      </c>
      <c r="Q509" s="99">
        <v>0</v>
      </c>
    </row>
    <row r="510" spans="1:17">
      <c r="A510" s="7">
        <v>2025</v>
      </c>
      <c r="B510" s="8" t="s">
        <v>434</v>
      </c>
      <c r="C510" s="94" t="s">
        <v>435</v>
      </c>
      <c r="D510" s="95">
        <v>3215062</v>
      </c>
      <c r="E510" s="95">
        <v>2</v>
      </c>
      <c r="F510" s="95"/>
      <c r="G510" s="95">
        <v>107211</v>
      </c>
      <c r="H510" s="95" t="s">
        <v>224</v>
      </c>
      <c r="I510" s="95"/>
      <c r="J510" s="95" t="s">
        <v>185</v>
      </c>
      <c r="K510" s="95" t="b">
        <v>1</v>
      </c>
      <c r="L510" s="95">
        <v>4</v>
      </c>
      <c r="M510" s="96">
        <v>2029</v>
      </c>
      <c r="N510" s="97">
        <v>0</v>
      </c>
      <c r="O510" s="98">
        <v>46020</v>
      </c>
      <c r="P510" s="98">
        <v>46020</v>
      </c>
      <c r="Q510" s="99">
        <v>0</v>
      </c>
    </row>
    <row r="511" spans="1:17">
      <c r="A511" s="7">
        <v>2025</v>
      </c>
      <c r="B511" s="8" t="s">
        <v>434</v>
      </c>
      <c r="C511" s="94" t="s">
        <v>435</v>
      </c>
      <c r="D511" s="95">
        <v>3215062</v>
      </c>
      <c r="E511" s="95">
        <v>2</v>
      </c>
      <c r="F511" s="95"/>
      <c r="G511" s="95">
        <v>61000</v>
      </c>
      <c r="H511" s="95">
        <v>6.1</v>
      </c>
      <c r="I511" s="95"/>
      <c r="J511" s="95" t="s">
        <v>149</v>
      </c>
      <c r="K511" s="95" t="b">
        <v>1</v>
      </c>
      <c r="L511" s="95">
        <v>10</v>
      </c>
      <c r="M511" s="96">
        <v>2035</v>
      </c>
      <c r="N511" s="97">
        <v>0</v>
      </c>
      <c r="O511" s="98">
        <v>46020</v>
      </c>
      <c r="P511" s="98">
        <v>46020</v>
      </c>
      <c r="Q511" s="99">
        <v>0</v>
      </c>
    </row>
    <row r="512" spans="1:17">
      <c r="A512" s="7">
        <v>2025</v>
      </c>
      <c r="B512" s="8" t="s">
        <v>434</v>
      </c>
      <c r="C512" s="94" t="s">
        <v>435</v>
      </c>
      <c r="D512" s="95">
        <v>3215062</v>
      </c>
      <c r="E512" s="95">
        <v>2</v>
      </c>
      <c r="F512" s="95"/>
      <c r="G512" s="95">
        <v>61000</v>
      </c>
      <c r="H512" s="95">
        <v>6.1</v>
      </c>
      <c r="I512" s="95"/>
      <c r="J512" s="95" t="s">
        <v>149</v>
      </c>
      <c r="K512" s="95" t="b">
        <v>1</v>
      </c>
      <c r="L512" s="95">
        <v>3</v>
      </c>
      <c r="M512" s="96">
        <v>2028</v>
      </c>
      <c r="N512" s="97">
        <v>0</v>
      </c>
      <c r="O512" s="98">
        <v>46020</v>
      </c>
      <c r="P512" s="98">
        <v>46020</v>
      </c>
      <c r="Q512" s="99">
        <v>0</v>
      </c>
    </row>
    <row r="513" spans="1:17">
      <c r="A513" s="7">
        <v>2025</v>
      </c>
      <c r="B513" s="8" t="s">
        <v>434</v>
      </c>
      <c r="C513" s="94" t="s">
        <v>435</v>
      </c>
      <c r="D513" s="95">
        <v>3215062</v>
      </c>
      <c r="E513" s="95">
        <v>2</v>
      </c>
      <c r="F513" s="95"/>
      <c r="G513" s="95">
        <v>61000</v>
      </c>
      <c r="H513" s="95">
        <v>6.1</v>
      </c>
      <c r="I513" s="95"/>
      <c r="J513" s="95" t="s">
        <v>149</v>
      </c>
      <c r="K513" s="95" t="b">
        <v>1</v>
      </c>
      <c r="L513" s="95">
        <v>1</v>
      </c>
      <c r="M513" s="96">
        <v>2026</v>
      </c>
      <c r="N513" s="97">
        <v>0</v>
      </c>
      <c r="O513" s="98">
        <v>46020</v>
      </c>
      <c r="P513" s="98">
        <v>46020</v>
      </c>
      <c r="Q513" s="99">
        <v>0</v>
      </c>
    </row>
    <row r="514" spans="1:17">
      <c r="A514" s="7">
        <v>2025</v>
      </c>
      <c r="B514" s="8" t="s">
        <v>434</v>
      </c>
      <c r="C514" s="94" t="s">
        <v>435</v>
      </c>
      <c r="D514" s="95">
        <v>3215062</v>
      </c>
      <c r="E514" s="95">
        <v>2</v>
      </c>
      <c r="F514" s="95"/>
      <c r="G514" s="95">
        <v>61000</v>
      </c>
      <c r="H514" s="95">
        <v>6.1</v>
      </c>
      <c r="I514" s="95"/>
      <c r="J514" s="95" t="s">
        <v>149</v>
      </c>
      <c r="K514" s="95" t="b">
        <v>1</v>
      </c>
      <c r="L514" s="95">
        <v>8</v>
      </c>
      <c r="M514" s="96">
        <v>2033</v>
      </c>
      <c r="N514" s="97">
        <v>0</v>
      </c>
      <c r="O514" s="98">
        <v>46020</v>
      </c>
      <c r="P514" s="98">
        <v>46020</v>
      </c>
      <c r="Q514" s="99">
        <v>0</v>
      </c>
    </row>
    <row r="515" spans="1:17">
      <c r="A515" s="7">
        <v>2025</v>
      </c>
      <c r="B515" s="8" t="s">
        <v>434</v>
      </c>
      <c r="C515" s="94" t="s">
        <v>435</v>
      </c>
      <c r="D515" s="95">
        <v>3215062</v>
      </c>
      <c r="E515" s="95">
        <v>2</v>
      </c>
      <c r="F515" s="95"/>
      <c r="G515" s="95">
        <v>61000</v>
      </c>
      <c r="H515" s="95">
        <v>6.1</v>
      </c>
      <c r="I515" s="95"/>
      <c r="J515" s="95" t="s">
        <v>149</v>
      </c>
      <c r="K515" s="95" t="b">
        <v>1</v>
      </c>
      <c r="L515" s="95">
        <v>6</v>
      </c>
      <c r="M515" s="96">
        <v>2031</v>
      </c>
      <c r="N515" s="97">
        <v>0</v>
      </c>
      <c r="O515" s="98">
        <v>46020</v>
      </c>
      <c r="P515" s="98">
        <v>46020</v>
      </c>
      <c r="Q515" s="99">
        <v>0</v>
      </c>
    </row>
    <row r="516" spans="1:17">
      <c r="A516" s="7">
        <v>2025</v>
      </c>
      <c r="B516" s="8" t="s">
        <v>434</v>
      </c>
      <c r="C516" s="94" t="s">
        <v>435</v>
      </c>
      <c r="D516" s="95">
        <v>3215062</v>
      </c>
      <c r="E516" s="95">
        <v>2</v>
      </c>
      <c r="F516" s="95"/>
      <c r="G516" s="95">
        <v>61000</v>
      </c>
      <c r="H516" s="95">
        <v>6.1</v>
      </c>
      <c r="I516" s="95"/>
      <c r="J516" s="95" t="s">
        <v>149</v>
      </c>
      <c r="K516" s="95" t="b">
        <v>1</v>
      </c>
      <c r="L516" s="95">
        <v>2</v>
      </c>
      <c r="M516" s="96">
        <v>2027</v>
      </c>
      <c r="N516" s="97">
        <v>0</v>
      </c>
      <c r="O516" s="98">
        <v>46020</v>
      </c>
      <c r="P516" s="98">
        <v>46020</v>
      </c>
      <c r="Q516" s="99">
        <v>0</v>
      </c>
    </row>
    <row r="517" spans="1:17">
      <c r="A517" s="7">
        <v>2025</v>
      </c>
      <c r="B517" s="8" t="s">
        <v>434</v>
      </c>
      <c r="C517" s="94" t="s">
        <v>435</v>
      </c>
      <c r="D517" s="95">
        <v>3215062</v>
      </c>
      <c r="E517" s="95">
        <v>2</v>
      </c>
      <c r="F517" s="95"/>
      <c r="G517" s="95">
        <v>61000</v>
      </c>
      <c r="H517" s="95">
        <v>6.1</v>
      </c>
      <c r="I517" s="95"/>
      <c r="J517" s="95" t="s">
        <v>149</v>
      </c>
      <c r="K517" s="95" t="b">
        <v>1</v>
      </c>
      <c r="L517" s="95">
        <v>13</v>
      </c>
      <c r="M517" s="96">
        <v>2038</v>
      </c>
      <c r="N517" s="97">
        <v>0</v>
      </c>
      <c r="O517" s="98">
        <v>46020</v>
      </c>
      <c r="P517" s="98">
        <v>46020</v>
      </c>
      <c r="Q517" s="99">
        <v>0</v>
      </c>
    </row>
    <row r="518" spans="1:17">
      <c r="A518" s="7">
        <v>2025</v>
      </c>
      <c r="B518" s="8" t="s">
        <v>434</v>
      </c>
      <c r="C518" s="94" t="s">
        <v>435</v>
      </c>
      <c r="D518" s="95">
        <v>3215062</v>
      </c>
      <c r="E518" s="95">
        <v>2</v>
      </c>
      <c r="F518" s="95"/>
      <c r="G518" s="95">
        <v>61000</v>
      </c>
      <c r="H518" s="95">
        <v>6.1</v>
      </c>
      <c r="I518" s="95"/>
      <c r="J518" s="95" t="s">
        <v>149</v>
      </c>
      <c r="K518" s="95" t="b">
        <v>1</v>
      </c>
      <c r="L518" s="95">
        <v>0</v>
      </c>
      <c r="M518" s="96">
        <v>2025</v>
      </c>
      <c r="N518" s="97">
        <v>0</v>
      </c>
      <c r="O518" s="98">
        <v>46020</v>
      </c>
      <c r="P518" s="98">
        <v>46020</v>
      </c>
      <c r="Q518" s="99">
        <v>0</v>
      </c>
    </row>
    <row r="519" spans="1:17">
      <c r="A519" s="7">
        <v>2025</v>
      </c>
      <c r="B519" s="8" t="s">
        <v>434</v>
      </c>
      <c r="C519" s="94" t="s">
        <v>435</v>
      </c>
      <c r="D519" s="95">
        <v>3215062</v>
      </c>
      <c r="E519" s="95">
        <v>2</v>
      </c>
      <c r="F519" s="95"/>
      <c r="G519" s="95">
        <v>61000</v>
      </c>
      <c r="H519" s="95">
        <v>6.1</v>
      </c>
      <c r="I519" s="95"/>
      <c r="J519" s="95" t="s">
        <v>149</v>
      </c>
      <c r="K519" s="95" t="b">
        <v>1</v>
      </c>
      <c r="L519" s="95">
        <v>9</v>
      </c>
      <c r="M519" s="96">
        <v>2034</v>
      </c>
      <c r="N519" s="97">
        <v>0</v>
      </c>
      <c r="O519" s="98">
        <v>46020</v>
      </c>
      <c r="P519" s="98">
        <v>46020</v>
      </c>
      <c r="Q519" s="99">
        <v>0</v>
      </c>
    </row>
    <row r="520" spans="1:17">
      <c r="A520" s="7">
        <v>2025</v>
      </c>
      <c r="B520" s="8" t="s">
        <v>434</v>
      </c>
      <c r="C520" s="94" t="s">
        <v>435</v>
      </c>
      <c r="D520" s="95">
        <v>3215062</v>
      </c>
      <c r="E520" s="95">
        <v>2</v>
      </c>
      <c r="F520" s="95"/>
      <c r="G520" s="95">
        <v>61000</v>
      </c>
      <c r="H520" s="95">
        <v>6.1</v>
      </c>
      <c r="I520" s="95"/>
      <c r="J520" s="95" t="s">
        <v>149</v>
      </c>
      <c r="K520" s="95" t="b">
        <v>1</v>
      </c>
      <c r="L520" s="95">
        <v>4</v>
      </c>
      <c r="M520" s="96">
        <v>2029</v>
      </c>
      <c r="N520" s="97">
        <v>0</v>
      </c>
      <c r="O520" s="98">
        <v>46020</v>
      </c>
      <c r="P520" s="98">
        <v>46020</v>
      </c>
      <c r="Q520" s="99">
        <v>0</v>
      </c>
    </row>
    <row r="521" spans="1:17">
      <c r="A521" s="7">
        <v>2025</v>
      </c>
      <c r="B521" s="8" t="s">
        <v>434</v>
      </c>
      <c r="C521" s="94" t="s">
        <v>435</v>
      </c>
      <c r="D521" s="95">
        <v>3215062</v>
      </c>
      <c r="E521" s="95">
        <v>2</v>
      </c>
      <c r="F521" s="95"/>
      <c r="G521" s="95">
        <v>61000</v>
      </c>
      <c r="H521" s="95">
        <v>6.1</v>
      </c>
      <c r="I521" s="95"/>
      <c r="J521" s="95" t="s">
        <v>149</v>
      </c>
      <c r="K521" s="95" t="b">
        <v>1</v>
      </c>
      <c r="L521" s="95">
        <v>5</v>
      </c>
      <c r="M521" s="96">
        <v>2030</v>
      </c>
      <c r="N521" s="97">
        <v>0</v>
      </c>
      <c r="O521" s="98">
        <v>46020</v>
      </c>
      <c r="P521" s="98">
        <v>46020</v>
      </c>
      <c r="Q521" s="99">
        <v>0</v>
      </c>
    </row>
    <row r="522" spans="1:17">
      <c r="A522" s="7">
        <v>2025</v>
      </c>
      <c r="B522" s="8" t="s">
        <v>434</v>
      </c>
      <c r="C522" s="94" t="s">
        <v>435</v>
      </c>
      <c r="D522" s="95">
        <v>3215062</v>
      </c>
      <c r="E522" s="95">
        <v>2</v>
      </c>
      <c r="F522" s="95"/>
      <c r="G522" s="95">
        <v>61000</v>
      </c>
      <c r="H522" s="95">
        <v>6.1</v>
      </c>
      <c r="I522" s="95"/>
      <c r="J522" s="95" t="s">
        <v>149</v>
      </c>
      <c r="K522" s="95" t="b">
        <v>1</v>
      </c>
      <c r="L522" s="95">
        <v>12</v>
      </c>
      <c r="M522" s="96">
        <v>2037</v>
      </c>
      <c r="N522" s="97">
        <v>0</v>
      </c>
      <c r="O522" s="98">
        <v>46020</v>
      </c>
      <c r="P522" s="98">
        <v>46020</v>
      </c>
      <c r="Q522" s="99">
        <v>0</v>
      </c>
    </row>
    <row r="523" spans="1:17">
      <c r="A523" s="7">
        <v>2025</v>
      </c>
      <c r="B523" s="8" t="s">
        <v>434</v>
      </c>
      <c r="C523" s="94" t="s">
        <v>435</v>
      </c>
      <c r="D523" s="95">
        <v>3215062</v>
      </c>
      <c r="E523" s="95">
        <v>2</v>
      </c>
      <c r="F523" s="95"/>
      <c r="G523" s="95">
        <v>61000</v>
      </c>
      <c r="H523" s="95">
        <v>6.1</v>
      </c>
      <c r="I523" s="95"/>
      <c r="J523" s="95" t="s">
        <v>149</v>
      </c>
      <c r="K523" s="95" t="b">
        <v>1</v>
      </c>
      <c r="L523" s="95">
        <v>7</v>
      </c>
      <c r="M523" s="96">
        <v>2032</v>
      </c>
      <c r="N523" s="97">
        <v>0</v>
      </c>
      <c r="O523" s="98">
        <v>46020</v>
      </c>
      <c r="P523" s="98">
        <v>46020</v>
      </c>
      <c r="Q523" s="99">
        <v>0</v>
      </c>
    </row>
    <row r="524" spans="1:17">
      <c r="A524" s="7">
        <v>2025</v>
      </c>
      <c r="B524" s="8" t="s">
        <v>434</v>
      </c>
      <c r="C524" s="94" t="s">
        <v>435</v>
      </c>
      <c r="D524" s="95">
        <v>3215062</v>
      </c>
      <c r="E524" s="95">
        <v>2</v>
      </c>
      <c r="F524" s="95"/>
      <c r="G524" s="95">
        <v>61000</v>
      </c>
      <c r="H524" s="95">
        <v>6.1</v>
      </c>
      <c r="I524" s="95"/>
      <c r="J524" s="95" t="s">
        <v>149</v>
      </c>
      <c r="K524" s="95" t="b">
        <v>1</v>
      </c>
      <c r="L524" s="95">
        <v>11</v>
      </c>
      <c r="M524" s="96">
        <v>2036</v>
      </c>
      <c r="N524" s="97">
        <v>0</v>
      </c>
      <c r="O524" s="98">
        <v>46020</v>
      </c>
      <c r="P524" s="98">
        <v>46020</v>
      </c>
      <c r="Q524" s="99">
        <v>0</v>
      </c>
    </row>
    <row r="525" spans="1:17">
      <c r="A525" s="7">
        <v>2025</v>
      </c>
      <c r="B525" s="8" t="s">
        <v>434</v>
      </c>
      <c r="C525" s="94" t="s">
        <v>435</v>
      </c>
      <c r="D525" s="95">
        <v>3215062</v>
      </c>
      <c r="E525" s="95">
        <v>2</v>
      </c>
      <c r="F525" s="95"/>
      <c r="G525" s="95">
        <v>84000</v>
      </c>
      <c r="H525" s="95">
        <v>8.4</v>
      </c>
      <c r="I525" s="95" t="s">
        <v>446</v>
      </c>
      <c r="J525" s="95" t="s">
        <v>160</v>
      </c>
      <c r="K525" s="95" t="b">
        <v>0</v>
      </c>
      <c r="L525" s="95">
        <v>4</v>
      </c>
      <c r="M525" s="96">
        <v>2029</v>
      </c>
      <c r="N525" s="97">
        <v>1101</v>
      </c>
      <c r="O525" s="98">
        <v>46020</v>
      </c>
      <c r="P525" s="98">
        <v>46020</v>
      </c>
      <c r="Q525" s="99">
        <v>0</v>
      </c>
    </row>
    <row r="526" spans="1:17">
      <c r="A526" s="7">
        <v>2025</v>
      </c>
      <c r="B526" s="8" t="s">
        <v>434</v>
      </c>
      <c r="C526" s="94" t="s">
        <v>435</v>
      </c>
      <c r="D526" s="95">
        <v>3215062</v>
      </c>
      <c r="E526" s="95">
        <v>2</v>
      </c>
      <c r="F526" s="95"/>
      <c r="G526" s="95">
        <v>84000</v>
      </c>
      <c r="H526" s="95">
        <v>8.4</v>
      </c>
      <c r="I526" s="95" t="s">
        <v>446</v>
      </c>
      <c r="J526" s="95" t="s">
        <v>160</v>
      </c>
      <c r="K526" s="95" t="b">
        <v>0</v>
      </c>
      <c r="L526" s="95">
        <v>10</v>
      </c>
      <c r="M526" s="96">
        <v>2035</v>
      </c>
      <c r="N526" s="97">
        <v>210</v>
      </c>
      <c r="O526" s="98">
        <v>46020</v>
      </c>
      <c r="P526" s="98">
        <v>46020</v>
      </c>
      <c r="Q526" s="99">
        <v>0</v>
      </c>
    </row>
    <row r="527" spans="1:17">
      <c r="A527" s="7">
        <v>2025</v>
      </c>
      <c r="B527" s="8" t="s">
        <v>434</v>
      </c>
      <c r="C527" s="94" t="s">
        <v>435</v>
      </c>
      <c r="D527" s="95">
        <v>3215062</v>
      </c>
      <c r="E527" s="95">
        <v>2</v>
      </c>
      <c r="F527" s="95"/>
      <c r="G527" s="95">
        <v>84000</v>
      </c>
      <c r="H527" s="95">
        <v>8.4</v>
      </c>
      <c r="I527" s="95" t="s">
        <v>446</v>
      </c>
      <c r="J527" s="95" t="s">
        <v>160</v>
      </c>
      <c r="K527" s="95" t="b">
        <v>0</v>
      </c>
      <c r="L527" s="95">
        <v>6</v>
      </c>
      <c r="M527" s="96">
        <v>2031</v>
      </c>
      <c r="N527" s="97">
        <v>436</v>
      </c>
      <c r="O527" s="98">
        <v>46020</v>
      </c>
      <c r="P527" s="98">
        <v>46020</v>
      </c>
      <c r="Q527" s="99">
        <v>0</v>
      </c>
    </row>
    <row r="528" spans="1:17">
      <c r="A528" s="7">
        <v>2025</v>
      </c>
      <c r="B528" s="8" t="s">
        <v>434</v>
      </c>
      <c r="C528" s="94" t="s">
        <v>435</v>
      </c>
      <c r="D528" s="95">
        <v>3215062</v>
      </c>
      <c r="E528" s="95">
        <v>2</v>
      </c>
      <c r="F528" s="95"/>
      <c r="G528" s="95">
        <v>84000</v>
      </c>
      <c r="H528" s="95">
        <v>8.4</v>
      </c>
      <c r="I528" s="95" t="s">
        <v>446</v>
      </c>
      <c r="J528" s="95" t="s">
        <v>160</v>
      </c>
      <c r="K528" s="95" t="b">
        <v>0</v>
      </c>
      <c r="L528" s="95">
        <v>13</v>
      </c>
      <c r="M528" s="96">
        <v>2038</v>
      </c>
      <c r="N528" s="97">
        <v>244</v>
      </c>
      <c r="O528" s="98">
        <v>46020</v>
      </c>
      <c r="P528" s="98">
        <v>46020</v>
      </c>
      <c r="Q528" s="99">
        <v>0</v>
      </c>
    </row>
    <row r="529" spans="1:17">
      <c r="A529" s="7">
        <v>2025</v>
      </c>
      <c r="B529" s="8" t="s">
        <v>434</v>
      </c>
      <c r="C529" s="94" t="s">
        <v>435</v>
      </c>
      <c r="D529" s="95">
        <v>3215062</v>
      </c>
      <c r="E529" s="95">
        <v>2</v>
      </c>
      <c r="F529" s="95"/>
      <c r="G529" s="95">
        <v>84000</v>
      </c>
      <c r="H529" s="95">
        <v>8.4</v>
      </c>
      <c r="I529" s="95" t="s">
        <v>446</v>
      </c>
      <c r="J529" s="95" t="s">
        <v>160</v>
      </c>
      <c r="K529" s="95" t="b">
        <v>0</v>
      </c>
      <c r="L529" s="95">
        <v>9</v>
      </c>
      <c r="M529" s="96">
        <v>2034</v>
      </c>
      <c r="N529" s="97">
        <v>248</v>
      </c>
      <c r="O529" s="98">
        <v>46020</v>
      </c>
      <c r="P529" s="98">
        <v>46020</v>
      </c>
      <c r="Q529" s="99">
        <v>0</v>
      </c>
    </row>
    <row r="530" spans="1:17">
      <c r="A530" s="7">
        <v>2025</v>
      </c>
      <c r="B530" s="8" t="s">
        <v>434</v>
      </c>
      <c r="C530" s="94" t="s">
        <v>435</v>
      </c>
      <c r="D530" s="95">
        <v>3215062</v>
      </c>
      <c r="E530" s="95">
        <v>2</v>
      </c>
      <c r="F530" s="95"/>
      <c r="G530" s="95">
        <v>42100</v>
      </c>
      <c r="H530" s="95" t="s">
        <v>39</v>
      </c>
      <c r="I530" s="95"/>
      <c r="J530" s="95" t="s">
        <v>135</v>
      </c>
      <c r="K530" s="95" t="b">
        <v>0</v>
      </c>
      <c r="L530" s="95">
        <v>9</v>
      </c>
      <c r="M530" s="96">
        <v>2034</v>
      </c>
      <c r="N530" s="97">
        <v>0</v>
      </c>
      <c r="O530" s="98">
        <v>46020</v>
      </c>
      <c r="P530" s="98">
        <v>46020</v>
      </c>
      <c r="Q530" s="99">
        <v>0</v>
      </c>
    </row>
    <row r="531" spans="1:17">
      <c r="A531" s="7">
        <v>2025</v>
      </c>
      <c r="B531" s="8" t="s">
        <v>434</v>
      </c>
      <c r="C531" s="94" t="s">
        <v>435</v>
      </c>
      <c r="D531" s="95">
        <v>3215062</v>
      </c>
      <c r="E531" s="95">
        <v>2</v>
      </c>
      <c r="F531" s="95"/>
      <c r="G531" s="95">
        <v>42100</v>
      </c>
      <c r="H531" s="95" t="s">
        <v>39</v>
      </c>
      <c r="I531" s="95"/>
      <c r="J531" s="95" t="s">
        <v>135</v>
      </c>
      <c r="K531" s="95" t="b">
        <v>0</v>
      </c>
      <c r="L531" s="95">
        <v>4</v>
      </c>
      <c r="M531" s="96">
        <v>2029</v>
      </c>
      <c r="N531" s="97">
        <v>0</v>
      </c>
      <c r="O531" s="98">
        <v>46020</v>
      </c>
      <c r="P531" s="98">
        <v>46020</v>
      </c>
      <c r="Q531" s="99">
        <v>0</v>
      </c>
    </row>
    <row r="532" spans="1:17">
      <c r="A532" s="7">
        <v>2025</v>
      </c>
      <c r="B532" s="8" t="s">
        <v>434</v>
      </c>
      <c r="C532" s="94" t="s">
        <v>435</v>
      </c>
      <c r="D532" s="95">
        <v>3215062</v>
      </c>
      <c r="E532" s="95">
        <v>2</v>
      </c>
      <c r="F532" s="95"/>
      <c r="G532" s="95">
        <v>84000</v>
      </c>
      <c r="H532" s="95">
        <v>8.4</v>
      </c>
      <c r="I532" s="95" t="s">
        <v>446</v>
      </c>
      <c r="J532" s="95" t="s">
        <v>160</v>
      </c>
      <c r="K532" s="95" t="b">
        <v>0</v>
      </c>
      <c r="L532" s="95">
        <v>11</v>
      </c>
      <c r="M532" s="96">
        <v>2036</v>
      </c>
      <c r="N532" s="97">
        <v>237</v>
      </c>
      <c r="O532" s="98">
        <v>46020</v>
      </c>
      <c r="P532" s="98">
        <v>46020</v>
      </c>
      <c r="Q532" s="99">
        <v>0</v>
      </c>
    </row>
    <row r="533" spans="1:17">
      <c r="A533" s="7">
        <v>2025</v>
      </c>
      <c r="B533" s="8" t="s">
        <v>434</v>
      </c>
      <c r="C533" s="94" t="s">
        <v>435</v>
      </c>
      <c r="D533" s="95">
        <v>3215062</v>
      </c>
      <c r="E533" s="95">
        <v>2</v>
      </c>
      <c r="F533" s="95"/>
      <c r="G533" s="95">
        <v>84000</v>
      </c>
      <c r="H533" s="95">
        <v>8.4</v>
      </c>
      <c r="I533" s="95" t="s">
        <v>446</v>
      </c>
      <c r="J533" s="95" t="s">
        <v>160</v>
      </c>
      <c r="K533" s="95" t="b">
        <v>0</v>
      </c>
      <c r="L533" s="95">
        <v>2</v>
      </c>
      <c r="M533" s="96">
        <v>2027</v>
      </c>
      <c r="N533" s="97">
        <v>1447</v>
      </c>
      <c r="O533" s="98">
        <v>46020</v>
      </c>
      <c r="P533" s="98">
        <v>46020</v>
      </c>
      <c r="Q533" s="99">
        <v>0</v>
      </c>
    </row>
    <row r="534" spans="1:17">
      <c r="A534" s="7">
        <v>2025</v>
      </c>
      <c r="B534" s="8" t="s">
        <v>434</v>
      </c>
      <c r="C534" s="94" t="s">
        <v>435</v>
      </c>
      <c r="D534" s="95">
        <v>3215062</v>
      </c>
      <c r="E534" s="95">
        <v>2</v>
      </c>
      <c r="F534" s="95"/>
      <c r="G534" s="95">
        <v>84000</v>
      </c>
      <c r="H534" s="95">
        <v>8.4</v>
      </c>
      <c r="I534" s="95" t="s">
        <v>446</v>
      </c>
      <c r="J534" s="95" t="s">
        <v>160</v>
      </c>
      <c r="K534" s="95" t="b">
        <v>0</v>
      </c>
      <c r="L534" s="95">
        <v>12</v>
      </c>
      <c r="M534" s="96">
        <v>2037</v>
      </c>
      <c r="N534" s="97">
        <v>237</v>
      </c>
      <c r="O534" s="98">
        <v>46020</v>
      </c>
      <c r="P534" s="98">
        <v>46020</v>
      </c>
      <c r="Q534" s="99">
        <v>0</v>
      </c>
    </row>
    <row r="535" spans="1:17">
      <c r="A535" s="7">
        <v>2025</v>
      </c>
      <c r="B535" s="8" t="s">
        <v>434</v>
      </c>
      <c r="C535" s="94" t="s">
        <v>435</v>
      </c>
      <c r="D535" s="95">
        <v>3215062</v>
      </c>
      <c r="E535" s="95">
        <v>2</v>
      </c>
      <c r="F535" s="95"/>
      <c r="G535" s="95">
        <v>84000</v>
      </c>
      <c r="H535" s="95">
        <v>8.4</v>
      </c>
      <c r="I535" s="95" t="s">
        <v>446</v>
      </c>
      <c r="J535" s="95" t="s">
        <v>160</v>
      </c>
      <c r="K535" s="95" t="b">
        <v>0</v>
      </c>
      <c r="L535" s="95">
        <v>1</v>
      </c>
      <c r="M535" s="96">
        <v>2026</v>
      </c>
      <c r="N535" s="97">
        <v>1290</v>
      </c>
      <c r="O535" s="98">
        <v>46020</v>
      </c>
      <c r="P535" s="98">
        <v>46020</v>
      </c>
      <c r="Q535" s="99">
        <v>0</v>
      </c>
    </row>
    <row r="536" spans="1:17">
      <c r="A536" s="7">
        <v>2025</v>
      </c>
      <c r="B536" s="8" t="s">
        <v>434</v>
      </c>
      <c r="C536" s="94" t="s">
        <v>435</v>
      </c>
      <c r="D536" s="95">
        <v>3215062</v>
      </c>
      <c r="E536" s="95">
        <v>2</v>
      </c>
      <c r="F536" s="95"/>
      <c r="G536" s="95">
        <v>84000</v>
      </c>
      <c r="H536" s="95">
        <v>8.4</v>
      </c>
      <c r="I536" s="95" t="s">
        <v>446</v>
      </c>
      <c r="J536" s="95" t="s">
        <v>160</v>
      </c>
      <c r="K536" s="95" t="b">
        <v>0</v>
      </c>
      <c r="L536" s="95">
        <v>0</v>
      </c>
      <c r="M536" s="96">
        <v>2025</v>
      </c>
      <c r="N536" s="97">
        <v>1626</v>
      </c>
      <c r="O536" s="98">
        <v>46020</v>
      </c>
      <c r="P536" s="98">
        <v>46020</v>
      </c>
      <c r="Q536" s="99">
        <v>0</v>
      </c>
    </row>
    <row r="537" spans="1:17">
      <c r="A537" s="7">
        <v>2025</v>
      </c>
      <c r="B537" s="8" t="s">
        <v>434</v>
      </c>
      <c r="C537" s="94" t="s">
        <v>435</v>
      </c>
      <c r="D537" s="95">
        <v>3215062</v>
      </c>
      <c r="E537" s="95">
        <v>2</v>
      </c>
      <c r="F537" s="95"/>
      <c r="G537" s="95">
        <v>84000</v>
      </c>
      <c r="H537" s="95">
        <v>8.4</v>
      </c>
      <c r="I537" s="95" t="s">
        <v>446</v>
      </c>
      <c r="J537" s="95" t="s">
        <v>160</v>
      </c>
      <c r="K537" s="95" t="b">
        <v>0</v>
      </c>
      <c r="L537" s="95">
        <v>3</v>
      </c>
      <c r="M537" s="96">
        <v>2028</v>
      </c>
      <c r="N537" s="97">
        <v>1347</v>
      </c>
      <c r="O537" s="98">
        <v>46020</v>
      </c>
      <c r="P537" s="98">
        <v>46020</v>
      </c>
      <c r="Q537" s="99">
        <v>0</v>
      </c>
    </row>
    <row r="538" spans="1:17">
      <c r="A538" s="7">
        <v>2025</v>
      </c>
      <c r="B538" s="8" t="s">
        <v>434</v>
      </c>
      <c r="C538" s="94" t="s">
        <v>435</v>
      </c>
      <c r="D538" s="95">
        <v>3215062</v>
      </c>
      <c r="E538" s="95">
        <v>2</v>
      </c>
      <c r="F538" s="95"/>
      <c r="G538" s="95">
        <v>84000</v>
      </c>
      <c r="H538" s="95">
        <v>8.4</v>
      </c>
      <c r="I538" s="95" t="s">
        <v>446</v>
      </c>
      <c r="J538" s="95" t="s">
        <v>160</v>
      </c>
      <c r="K538" s="95" t="b">
        <v>0</v>
      </c>
      <c r="L538" s="95">
        <v>5</v>
      </c>
      <c r="M538" s="96">
        <v>2030</v>
      </c>
      <c r="N538" s="97">
        <v>815</v>
      </c>
      <c r="O538" s="98">
        <v>46020</v>
      </c>
      <c r="P538" s="98">
        <v>46020</v>
      </c>
      <c r="Q538" s="99">
        <v>0</v>
      </c>
    </row>
    <row r="539" spans="1:17">
      <c r="A539" s="7">
        <v>2025</v>
      </c>
      <c r="B539" s="8" t="s">
        <v>434</v>
      </c>
      <c r="C539" s="94" t="s">
        <v>435</v>
      </c>
      <c r="D539" s="95">
        <v>3215062</v>
      </c>
      <c r="E539" s="95">
        <v>2</v>
      </c>
      <c r="F539" s="95"/>
      <c r="G539" s="95">
        <v>84000</v>
      </c>
      <c r="H539" s="95">
        <v>8.4</v>
      </c>
      <c r="I539" s="95" t="s">
        <v>446</v>
      </c>
      <c r="J539" s="95" t="s">
        <v>160</v>
      </c>
      <c r="K539" s="95" t="b">
        <v>0</v>
      </c>
      <c r="L539" s="95">
        <v>7</v>
      </c>
      <c r="M539" s="96">
        <v>2032</v>
      </c>
      <c r="N539" s="97">
        <v>484</v>
      </c>
      <c r="O539" s="98">
        <v>46020</v>
      </c>
      <c r="P539" s="98">
        <v>46020</v>
      </c>
      <c r="Q539" s="99">
        <v>0</v>
      </c>
    </row>
    <row r="540" spans="1:17">
      <c r="A540" s="7">
        <v>2025</v>
      </c>
      <c r="B540" s="8" t="s">
        <v>434</v>
      </c>
      <c r="C540" s="94" t="s">
        <v>435</v>
      </c>
      <c r="D540" s="95">
        <v>3215062</v>
      </c>
      <c r="E540" s="95">
        <v>2</v>
      </c>
      <c r="F540" s="95"/>
      <c r="G540" s="95">
        <v>84000</v>
      </c>
      <c r="H540" s="95">
        <v>8.4</v>
      </c>
      <c r="I540" s="95" t="s">
        <v>446</v>
      </c>
      <c r="J540" s="95" t="s">
        <v>160</v>
      </c>
      <c r="K540" s="95" t="b">
        <v>0</v>
      </c>
      <c r="L540" s="95">
        <v>8</v>
      </c>
      <c r="M540" s="96">
        <v>2033</v>
      </c>
      <c r="N540" s="97">
        <v>502</v>
      </c>
      <c r="O540" s="98">
        <v>46020</v>
      </c>
      <c r="P540" s="98">
        <v>46020</v>
      </c>
      <c r="Q540" s="99">
        <v>0</v>
      </c>
    </row>
    <row r="541" spans="1:17">
      <c r="A541" s="7">
        <v>2025</v>
      </c>
      <c r="B541" s="8" t="s">
        <v>434</v>
      </c>
      <c r="C541" s="94" t="s">
        <v>435</v>
      </c>
      <c r="D541" s="95">
        <v>3215062</v>
      </c>
      <c r="E541" s="95">
        <v>2</v>
      </c>
      <c r="F541" s="95"/>
      <c r="G541" s="95">
        <v>42100</v>
      </c>
      <c r="H541" s="95" t="s">
        <v>39</v>
      </c>
      <c r="I541" s="95"/>
      <c r="J541" s="95" t="s">
        <v>135</v>
      </c>
      <c r="K541" s="95" t="b">
        <v>0</v>
      </c>
      <c r="L541" s="95">
        <v>7</v>
      </c>
      <c r="M541" s="96">
        <v>2032</v>
      </c>
      <c r="N541" s="97">
        <v>0</v>
      </c>
      <c r="O541" s="98">
        <v>46020</v>
      </c>
      <c r="P541" s="98">
        <v>46020</v>
      </c>
      <c r="Q541" s="99">
        <v>0</v>
      </c>
    </row>
    <row r="542" spans="1:17">
      <c r="A542" s="7">
        <v>2025</v>
      </c>
      <c r="B542" s="8" t="s">
        <v>434</v>
      </c>
      <c r="C542" s="94" t="s">
        <v>435</v>
      </c>
      <c r="D542" s="95">
        <v>3215062</v>
      </c>
      <c r="E542" s="95">
        <v>2</v>
      </c>
      <c r="F542" s="95"/>
      <c r="G542" s="95">
        <v>42100</v>
      </c>
      <c r="H542" s="95" t="s">
        <v>39</v>
      </c>
      <c r="I542" s="95"/>
      <c r="J542" s="95" t="s">
        <v>135</v>
      </c>
      <c r="K542" s="95" t="b">
        <v>0</v>
      </c>
      <c r="L542" s="95">
        <v>6</v>
      </c>
      <c r="M542" s="96">
        <v>2031</v>
      </c>
      <c r="N542" s="97">
        <v>0</v>
      </c>
      <c r="O542" s="98">
        <v>46020</v>
      </c>
      <c r="P542" s="98">
        <v>46020</v>
      </c>
      <c r="Q542" s="99">
        <v>0</v>
      </c>
    </row>
    <row r="543" spans="1:17">
      <c r="A543" s="7">
        <v>2025</v>
      </c>
      <c r="B543" s="8" t="s">
        <v>434</v>
      </c>
      <c r="C543" s="94" t="s">
        <v>435</v>
      </c>
      <c r="D543" s="95">
        <v>3215062</v>
      </c>
      <c r="E543" s="95">
        <v>2</v>
      </c>
      <c r="F543" s="95"/>
      <c r="G543" s="95">
        <v>42100</v>
      </c>
      <c r="H543" s="95" t="s">
        <v>39</v>
      </c>
      <c r="I543" s="95"/>
      <c r="J543" s="95" t="s">
        <v>135</v>
      </c>
      <c r="K543" s="95" t="b">
        <v>0</v>
      </c>
      <c r="L543" s="95">
        <v>2</v>
      </c>
      <c r="M543" s="96">
        <v>2027</v>
      </c>
      <c r="N543" s="97">
        <v>0</v>
      </c>
      <c r="O543" s="98">
        <v>46020</v>
      </c>
      <c r="P543" s="98">
        <v>46020</v>
      </c>
      <c r="Q543" s="99">
        <v>0</v>
      </c>
    </row>
    <row r="544" spans="1:17">
      <c r="A544" s="7">
        <v>2025</v>
      </c>
      <c r="B544" s="8" t="s">
        <v>434</v>
      </c>
      <c r="C544" s="94" t="s">
        <v>435</v>
      </c>
      <c r="D544" s="95">
        <v>3215062</v>
      </c>
      <c r="E544" s="95">
        <v>2</v>
      </c>
      <c r="F544" s="95"/>
      <c r="G544" s="95">
        <v>42100</v>
      </c>
      <c r="H544" s="95" t="s">
        <v>39</v>
      </c>
      <c r="I544" s="95"/>
      <c r="J544" s="95" t="s">
        <v>135</v>
      </c>
      <c r="K544" s="95" t="b">
        <v>0</v>
      </c>
      <c r="L544" s="95">
        <v>8</v>
      </c>
      <c r="M544" s="96">
        <v>2033</v>
      </c>
      <c r="N544" s="97">
        <v>0</v>
      </c>
      <c r="O544" s="98">
        <v>46020</v>
      </c>
      <c r="P544" s="98">
        <v>46020</v>
      </c>
      <c r="Q544" s="99">
        <v>0</v>
      </c>
    </row>
    <row r="545" spans="1:17">
      <c r="A545" s="7">
        <v>2025</v>
      </c>
      <c r="B545" s="8" t="s">
        <v>434</v>
      </c>
      <c r="C545" s="94" t="s">
        <v>435</v>
      </c>
      <c r="D545" s="95">
        <v>3215062</v>
      </c>
      <c r="E545" s="95">
        <v>2</v>
      </c>
      <c r="F545" s="95"/>
      <c r="G545" s="95">
        <v>42100</v>
      </c>
      <c r="H545" s="95" t="s">
        <v>39</v>
      </c>
      <c r="I545" s="95"/>
      <c r="J545" s="95" t="s">
        <v>135</v>
      </c>
      <c r="K545" s="95" t="b">
        <v>0</v>
      </c>
      <c r="L545" s="95">
        <v>12</v>
      </c>
      <c r="M545" s="96">
        <v>2037</v>
      </c>
      <c r="N545" s="97">
        <v>0</v>
      </c>
      <c r="O545" s="98">
        <v>46020</v>
      </c>
      <c r="P545" s="98">
        <v>46020</v>
      </c>
      <c r="Q545" s="99">
        <v>0</v>
      </c>
    </row>
    <row r="546" spans="1:17">
      <c r="A546" s="7">
        <v>2025</v>
      </c>
      <c r="B546" s="8" t="s">
        <v>434</v>
      </c>
      <c r="C546" s="94" t="s">
        <v>435</v>
      </c>
      <c r="D546" s="95">
        <v>3215062</v>
      </c>
      <c r="E546" s="95">
        <v>2</v>
      </c>
      <c r="F546" s="95"/>
      <c r="G546" s="95">
        <v>42100</v>
      </c>
      <c r="H546" s="95" t="s">
        <v>39</v>
      </c>
      <c r="I546" s="95"/>
      <c r="J546" s="95" t="s">
        <v>135</v>
      </c>
      <c r="K546" s="95" t="b">
        <v>0</v>
      </c>
      <c r="L546" s="95">
        <v>10</v>
      </c>
      <c r="M546" s="96">
        <v>2035</v>
      </c>
      <c r="N546" s="97">
        <v>0</v>
      </c>
      <c r="O546" s="98">
        <v>46020</v>
      </c>
      <c r="P546" s="98">
        <v>46020</v>
      </c>
      <c r="Q546" s="99">
        <v>0</v>
      </c>
    </row>
    <row r="547" spans="1:17">
      <c r="A547" s="7">
        <v>2025</v>
      </c>
      <c r="B547" s="8" t="s">
        <v>434</v>
      </c>
      <c r="C547" s="94" t="s">
        <v>435</v>
      </c>
      <c r="D547" s="95">
        <v>3215062</v>
      </c>
      <c r="E547" s="95">
        <v>2</v>
      </c>
      <c r="F547" s="95"/>
      <c r="G547" s="95">
        <v>42100</v>
      </c>
      <c r="H547" s="95" t="s">
        <v>39</v>
      </c>
      <c r="I547" s="95"/>
      <c r="J547" s="95" t="s">
        <v>135</v>
      </c>
      <c r="K547" s="95" t="b">
        <v>0</v>
      </c>
      <c r="L547" s="95">
        <v>11</v>
      </c>
      <c r="M547" s="96">
        <v>2036</v>
      </c>
      <c r="N547" s="97">
        <v>0</v>
      </c>
      <c r="O547" s="98">
        <v>46020</v>
      </c>
      <c r="P547" s="98">
        <v>46020</v>
      </c>
      <c r="Q547" s="99">
        <v>0</v>
      </c>
    </row>
    <row r="548" spans="1:17">
      <c r="A548" s="7">
        <v>2025</v>
      </c>
      <c r="B548" s="8" t="s">
        <v>434</v>
      </c>
      <c r="C548" s="94" t="s">
        <v>435</v>
      </c>
      <c r="D548" s="95">
        <v>3215062</v>
      </c>
      <c r="E548" s="95">
        <v>2</v>
      </c>
      <c r="F548" s="95"/>
      <c r="G548" s="95">
        <v>42100</v>
      </c>
      <c r="H548" s="95" t="s">
        <v>39</v>
      </c>
      <c r="I548" s="95"/>
      <c r="J548" s="95" t="s">
        <v>135</v>
      </c>
      <c r="K548" s="95" t="b">
        <v>0</v>
      </c>
      <c r="L548" s="95">
        <v>3</v>
      </c>
      <c r="M548" s="96">
        <v>2028</v>
      </c>
      <c r="N548" s="97">
        <v>0</v>
      </c>
      <c r="O548" s="98">
        <v>46020</v>
      </c>
      <c r="P548" s="98">
        <v>46020</v>
      </c>
      <c r="Q548" s="99">
        <v>0</v>
      </c>
    </row>
    <row r="549" spans="1:17">
      <c r="A549" s="7">
        <v>2025</v>
      </c>
      <c r="B549" s="8" t="s">
        <v>434</v>
      </c>
      <c r="C549" s="94" t="s">
        <v>435</v>
      </c>
      <c r="D549" s="95">
        <v>3215062</v>
      </c>
      <c r="E549" s="95">
        <v>2</v>
      </c>
      <c r="F549" s="95"/>
      <c r="G549" s="95">
        <v>42100</v>
      </c>
      <c r="H549" s="95" t="s">
        <v>39</v>
      </c>
      <c r="I549" s="95"/>
      <c r="J549" s="95" t="s">
        <v>135</v>
      </c>
      <c r="K549" s="95" t="b">
        <v>0</v>
      </c>
      <c r="L549" s="95">
        <v>5</v>
      </c>
      <c r="M549" s="96">
        <v>2030</v>
      </c>
      <c r="N549" s="97">
        <v>0</v>
      </c>
      <c r="O549" s="98">
        <v>46020</v>
      </c>
      <c r="P549" s="98">
        <v>46020</v>
      </c>
      <c r="Q549" s="99">
        <v>0</v>
      </c>
    </row>
    <row r="550" spans="1:17">
      <c r="A550" s="7">
        <v>2025</v>
      </c>
      <c r="B550" s="8" t="s">
        <v>434</v>
      </c>
      <c r="C550" s="94" t="s">
        <v>435</v>
      </c>
      <c r="D550" s="95">
        <v>3215062</v>
      </c>
      <c r="E550" s="95">
        <v>2</v>
      </c>
      <c r="F550" s="95"/>
      <c r="G550" s="95">
        <v>42100</v>
      </c>
      <c r="H550" s="95" t="s">
        <v>39</v>
      </c>
      <c r="I550" s="95"/>
      <c r="J550" s="95" t="s">
        <v>135</v>
      </c>
      <c r="K550" s="95" t="b">
        <v>0</v>
      </c>
      <c r="L550" s="95">
        <v>13</v>
      </c>
      <c r="M550" s="96">
        <v>2038</v>
      </c>
      <c r="N550" s="97">
        <v>0</v>
      </c>
      <c r="O550" s="98">
        <v>46020</v>
      </c>
      <c r="P550" s="98">
        <v>46020</v>
      </c>
      <c r="Q550" s="99">
        <v>0</v>
      </c>
    </row>
    <row r="551" spans="1:17">
      <c r="A551" s="7">
        <v>2025</v>
      </c>
      <c r="B551" s="8" t="s">
        <v>434</v>
      </c>
      <c r="C551" s="94" t="s">
        <v>435</v>
      </c>
      <c r="D551" s="95">
        <v>3215062</v>
      </c>
      <c r="E551" s="95">
        <v>2</v>
      </c>
      <c r="F551" s="95"/>
      <c r="G551" s="95">
        <v>42100</v>
      </c>
      <c r="H551" s="95" t="s">
        <v>39</v>
      </c>
      <c r="I551" s="95"/>
      <c r="J551" s="95" t="s">
        <v>135</v>
      </c>
      <c r="K551" s="95" t="b">
        <v>0</v>
      </c>
      <c r="L551" s="95">
        <v>1</v>
      </c>
      <c r="M551" s="96">
        <v>2026</v>
      </c>
      <c r="N551" s="97">
        <v>0</v>
      </c>
      <c r="O551" s="98">
        <v>46020</v>
      </c>
      <c r="P551" s="98">
        <v>46020</v>
      </c>
      <c r="Q551" s="99">
        <v>0</v>
      </c>
    </row>
    <row r="552" spans="1:17">
      <c r="A552" s="7">
        <v>2025</v>
      </c>
      <c r="B552" s="8" t="s">
        <v>434</v>
      </c>
      <c r="C552" s="94" t="s">
        <v>435</v>
      </c>
      <c r="D552" s="95">
        <v>3215062</v>
      </c>
      <c r="E552" s="95">
        <v>2</v>
      </c>
      <c r="F552" s="95"/>
      <c r="G552" s="95">
        <v>42100</v>
      </c>
      <c r="H552" s="95" t="s">
        <v>39</v>
      </c>
      <c r="I552" s="95"/>
      <c r="J552" s="95" t="s">
        <v>135</v>
      </c>
      <c r="K552" s="95" t="b">
        <v>0</v>
      </c>
      <c r="L552" s="95">
        <v>0</v>
      </c>
      <c r="M552" s="96">
        <v>2025</v>
      </c>
      <c r="N552" s="97">
        <v>5317707.7300000004</v>
      </c>
      <c r="O552" s="98">
        <v>46020</v>
      </c>
      <c r="P552" s="98">
        <v>46020</v>
      </c>
      <c r="Q552" s="99">
        <v>0</v>
      </c>
    </row>
    <row r="553" spans="1:17">
      <c r="A553" s="7">
        <v>2025</v>
      </c>
      <c r="B553" s="8" t="s">
        <v>434</v>
      </c>
      <c r="C553" s="94" t="s">
        <v>435</v>
      </c>
      <c r="D553" s="95">
        <v>3215062</v>
      </c>
      <c r="E553" s="95">
        <v>2</v>
      </c>
      <c r="F553" s="95"/>
      <c r="G553" s="95">
        <v>91110</v>
      </c>
      <c r="H553" s="95" t="s">
        <v>212</v>
      </c>
      <c r="I553" s="95"/>
      <c r="J553" s="95" t="s">
        <v>164</v>
      </c>
      <c r="K553" s="95" t="b">
        <v>1</v>
      </c>
      <c r="L553" s="95">
        <v>0</v>
      </c>
      <c r="M553" s="96">
        <v>2025</v>
      </c>
      <c r="N553" s="97">
        <v>1266184.5900000001</v>
      </c>
      <c r="O553" s="98">
        <v>46020</v>
      </c>
      <c r="P553" s="98">
        <v>46020</v>
      </c>
      <c r="Q553" s="99">
        <v>0</v>
      </c>
    </row>
    <row r="554" spans="1:17">
      <c r="A554" s="7">
        <v>2025</v>
      </c>
      <c r="B554" s="8" t="s">
        <v>434</v>
      </c>
      <c r="C554" s="94" t="s">
        <v>435</v>
      </c>
      <c r="D554" s="95">
        <v>3215062</v>
      </c>
      <c r="E554" s="95">
        <v>2</v>
      </c>
      <c r="F554" s="95"/>
      <c r="G554" s="95">
        <v>91110</v>
      </c>
      <c r="H554" s="95" t="s">
        <v>212</v>
      </c>
      <c r="I554" s="95"/>
      <c r="J554" s="95" t="s">
        <v>164</v>
      </c>
      <c r="K554" s="95" t="b">
        <v>1</v>
      </c>
      <c r="L554" s="95">
        <v>11</v>
      </c>
      <c r="M554" s="96">
        <v>2036</v>
      </c>
      <c r="N554" s="97">
        <v>0</v>
      </c>
      <c r="O554" s="98">
        <v>46020</v>
      </c>
      <c r="P554" s="98">
        <v>46020</v>
      </c>
      <c r="Q554" s="99">
        <v>0</v>
      </c>
    </row>
    <row r="555" spans="1:17">
      <c r="A555" s="7">
        <v>2025</v>
      </c>
      <c r="B555" s="8" t="s">
        <v>434</v>
      </c>
      <c r="C555" s="94" t="s">
        <v>435</v>
      </c>
      <c r="D555" s="95">
        <v>3215062</v>
      </c>
      <c r="E555" s="95">
        <v>2</v>
      </c>
      <c r="F555" s="95"/>
      <c r="G555" s="95">
        <v>91110</v>
      </c>
      <c r="H555" s="95" t="s">
        <v>212</v>
      </c>
      <c r="I555" s="95"/>
      <c r="J555" s="95" t="s">
        <v>164</v>
      </c>
      <c r="K555" s="95" t="b">
        <v>1</v>
      </c>
      <c r="L555" s="95">
        <v>10</v>
      </c>
      <c r="M555" s="96">
        <v>2035</v>
      </c>
      <c r="N555" s="97">
        <v>0</v>
      </c>
      <c r="O555" s="98">
        <v>46020</v>
      </c>
      <c r="P555" s="98">
        <v>46020</v>
      </c>
      <c r="Q555" s="99">
        <v>0</v>
      </c>
    </row>
    <row r="556" spans="1:17">
      <c r="A556" s="7">
        <v>2025</v>
      </c>
      <c r="B556" s="8" t="s">
        <v>434</v>
      </c>
      <c r="C556" s="94" t="s">
        <v>435</v>
      </c>
      <c r="D556" s="95">
        <v>3215062</v>
      </c>
      <c r="E556" s="95">
        <v>2</v>
      </c>
      <c r="F556" s="95"/>
      <c r="G556" s="95">
        <v>91110</v>
      </c>
      <c r="H556" s="95" t="s">
        <v>212</v>
      </c>
      <c r="I556" s="95"/>
      <c r="J556" s="95" t="s">
        <v>164</v>
      </c>
      <c r="K556" s="95" t="b">
        <v>1</v>
      </c>
      <c r="L556" s="95">
        <v>12</v>
      </c>
      <c r="M556" s="96">
        <v>2037</v>
      </c>
      <c r="N556" s="97">
        <v>0</v>
      </c>
      <c r="O556" s="98">
        <v>46020</v>
      </c>
      <c r="P556" s="98">
        <v>46020</v>
      </c>
      <c r="Q556" s="99">
        <v>0</v>
      </c>
    </row>
    <row r="557" spans="1:17">
      <c r="A557" s="7">
        <v>2025</v>
      </c>
      <c r="B557" s="8" t="s">
        <v>434</v>
      </c>
      <c r="C557" s="94" t="s">
        <v>435</v>
      </c>
      <c r="D557" s="95">
        <v>3215062</v>
      </c>
      <c r="E557" s="95">
        <v>2</v>
      </c>
      <c r="F557" s="95"/>
      <c r="G557" s="95">
        <v>91110</v>
      </c>
      <c r="H557" s="95" t="s">
        <v>212</v>
      </c>
      <c r="I557" s="95"/>
      <c r="J557" s="95" t="s">
        <v>164</v>
      </c>
      <c r="K557" s="95" t="b">
        <v>1</v>
      </c>
      <c r="L557" s="95">
        <v>9</v>
      </c>
      <c r="M557" s="96">
        <v>2034</v>
      </c>
      <c r="N557" s="97">
        <v>0</v>
      </c>
      <c r="O557" s="98">
        <v>46020</v>
      </c>
      <c r="P557" s="98">
        <v>46020</v>
      </c>
      <c r="Q557" s="99">
        <v>0</v>
      </c>
    </row>
    <row r="558" spans="1:17">
      <c r="A558" s="7">
        <v>2025</v>
      </c>
      <c r="B558" s="8" t="s">
        <v>434</v>
      </c>
      <c r="C558" s="94" t="s">
        <v>435</v>
      </c>
      <c r="D558" s="95">
        <v>3215062</v>
      </c>
      <c r="E558" s="95">
        <v>2</v>
      </c>
      <c r="F558" s="95"/>
      <c r="G558" s="95">
        <v>91110</v>
      </c>
      <c r="H558" s="95" t="s">
        <v>212</v>
      </c>
      <c r="I558" s="95"/>
      <c r="J558" s="95" t="s">
        <v>164</v>
      </c>
      <c r="K558" s="95" t="b">
        <v>1</v>
      </c>
      <c r="L558" s="95">
        <v>1</v>
      </c>
      <c r="M558" s="96">
        <v>2026</v>
      </c>
      <c r="N558" s="97">
        <v>555209.39</v>
      </c>
      <c r="O558" s="98">
        <v>46020</v>
      </c>
      <c r="P558" s="98">
        <v>46020</v>
      </c>
      <c r="Q558" s="99">
        <v>0</v>
      </c>
    </row>
    <row r="559" spans="1:17">
      <c r="A559" s="7">
        <v>2025</v>
      </c>
      <c r="B559" s="8" t="s">
        <v>434</v>
      </c>
      <c r="C559" s="94" t="s">
        <v>435</v>
      </c>
      <c r="D559" s="95">
        <v>3215062</v>
      </c>
      <c r="E559" s="95">
        <v>2</v>
      </c>
      <c r="F559" s="95"/>
      <c r="G559" s="95">
        <v>91110</v>
      </c>
      <c r="H559" s="95" t="s">
        <v>212</v>
      </c>
      <c r="I559" s="95"/>
      <c r="J559" s="95" t="s">
        <v>164</v>
      </c>
      <c r="K559" s="95" t="b">
        <v>1</v>
      </c>
      <c r="L559" s="95">
        <v>5</v>
      </c>
      <c r="M559" s="96">
        <v>2030</v>
      </c>
      <c r="N559" s="97">
        <v>0</v>
      </c>
      <c r="O559" s="98">
        <v>46020</v>
      </c>
      <c r="P559" s="98">
        <v>46020</v>
      </c>
      <c r="Q559" s="99">
        <v>0</v>
      </c>
    </row>
    <row r="560" spans="1:17">
      <c r="A560" s="7">
        <v>2025</v>
      </c>
      <c r="B560" s="8" t="s">
        <v>434</v>
      </c>
      <c r="C560" s="94" t="s">
        <v>435</v>
      </c>
      <c r="D560" s="95">
        <v>3215062</v>
      </c>
      <c r="E560" s="95">
        <v>2</v>
      </c>
      <c r="F560" s="95"/>
      <c r="G560" s="95">
        <v>91110</v>
      </c>
      <c r="H560" s="95" t="s">
        <v>212</v>
      </c>
      <c r="I560" s="95"/>
      <c r="J560" s="95" t="s">
        <v>164</v>
      </c>
      <c r="K560" s="95" t="b">
        <v>1</v>
      </c>
      <c r="L560" s="95">
        <v>4</v>
      </c>
      <c r="M560" s="96">
        <v>2029</v>
      </c>
      <c r="N560" s="97">
        <v>0</v>
      </c>
      <c r="O560" s="98">
        <v>46020</v>
      </c>
      <c r="P560" s="98">
        <v>46020</v>
      </c>
      <c r="Q560" s="99">
        <v>0</v>
      </c>
    </row>
    <row r="561" spans="1:17">
      <c r="A561" s="7">
        <v>2025</v>
      </c>
      <c r="B561" s="8" t="s">
        <v>434</v>
      </c>
      <c r="C561" s="94" t="s">
        <v>435</v>
      </c>
      <c r="D561" s="95">
        <v>3215062</v>
      </c>
      <c r="E561" s="95">
        <v>2</v>
      </c>
      <c r="F561" s="95"/>
      <c r="G561" s="95">
        <v>91110</v>
      </c>
      <c r="H561" s="95" t="s">
        <v>212</v>
      </c>
      <c r="I561" s="95"/>
      <c r="J561" s="95" t="s">
        <v>164</v>
      </c>
      <c r="K561" s="95" t="b">
        <v>1</v>
      </c>
      <c r="L561" s="95">
        <v>8</v>
      </c>
      <c r="M561" s="96">
        <v>2033</v>
      </c>
      <c r="N561" s="97">
        <v>0</v>
      </c>
      <c r="O561" s="98">
        <v>46020</v>
      </c>
      <c r="P561" s="98">
        <v>46020</v>
      </c>
      <c r="Q561" s="99">
        <v>0</v>
      </c>
    </row>
    <row r="562" spans="1:17">
      <c r="A562" s="7">
        <v>2025</v>
      </c>
      <c r="B562" s="8" t="s">
        <v>434</v>
      </c>
      <c r="C562" s="94" t="s">
        <v>435</v>
      </c>
      <c r="D562" s="95">
        <v>3215062</v>
      </c>
      <c r="E562" s="95">
        <v>2</v>
      </c>
      <c r="F562" s="95"/>
      <c r="G562" s="95">
        <v>91110</v>
      </c>
      <c r="H562" s="95" t="s">
        <v>212</v>
      </c>
      <c r="I562" s="95"/>
      <c r="J562" s="95" t="s">
        <v>164</v>
      </c>
      <c r="K562" s="95" t="b">
        <v>1</v>
      </c>
      <c r="L562" s="95">
        <v>7</v>
      </c>
      <c r="M562" s="96">
        <v>2032</v>
      </c>
      <c r="N562" s="97">
        <v>0</v>
      </c>
      <c r="O562" s="98">
        <v>46020</v>
      </c>
      <c r="P562" s="98">
        <v>46020</v>
      </c>
      <c r="Q562" s="99">
        <v>0</v>
      </c>
    </row>
    <row r="563" spans="1:17">
      <c r="A563" s="7">
        <v>2025</v>
      </c>
      <c r="B563" s="8" t="s">
        <v>434</v>
      </c>
      <c r="C563" s="94" t="s">
        <v>435</v>
      </c>
      <c r="D563" s="95">
        <v>3215062</v>
      </c>
      <c r="E563" s="95">
        <v>2</v>
      </c>
      <c r="F563" s="95"/>
      <c r="G563" s="95">
        <v>91110</v>
      </c>
      <c r="H563" s="95" t="s">
        <v>212</v>
      </c>
      <c r="I563" s="95"/>
      <c r="J563" s="95" t="s">
        <v>164</v>
      </c>
      <c r="K563" s="95" t="b">
        <v>1</v>
      </c>
      <c r="L563" s="95">
        <v>2</v>
      </c>
      <c r="M563" s="96">
        <v>2027</v>
      </c>
      <c r="N563" s="97">
        <v>471126.54</v>
      </c>
      <c r="O563" s="98">
        <v>46020</v>
      </c>
      <c r="P563" s="98">
        <v>46020</v>
      </c>
      <c r="Q563" s="99">
        <v>0</v>
      </c>
    </row>
    <row r="564" spans="1:17">
      <c r="A564" s="7">
        <v>2025</v>
      </c>
      <c r="B564" s="8" t="s">
        <v>434</v>
      </c>
      <c r="C564" s="94" t="s">
        <v>435</v>
      </c>
      <c r="D564" s="95">
        <v>3215062</v>
      </c>
      <c r="E564" s="95">
        <v>2</v>
      </c>
      <c r="F564" s="95"/>
      <c r="G564" s="95">
        <v>91110</v>
      </c>
      <c r="H564" s="95" t="s">
        <v>212</v>
      </c>
      <c r="I564" s="95"/>
      <c r="J564" s="95" t="s">
        <v>164</v>
      </c>
      <c r="K564" s="95" t="b">
        <v>1</v>
      </c>
      <c r="L564" s="95">
        <v>3</v>
      </c>
      <c r="M564" s="96">
        <v>2028</v>
      </c>
      <c r="N564" s="97">
        <v>0</v>
      </c>
      <c r="O564" s="98">
        <v>46020</v>
      </c>
      <c r="P564" s="98">
        <v>46020</v>
      </c>
      <c r="Q564" s="99">
        <v>0</v>
      </c>
    </row>
    <row r="565" spans="1:17">
      <c r="A565" s="7">
        <v>2025</v>
      </c>
      <c r="B565" s="8" t="s">
        <v>434</v>
      </c>
      <c r="C565" s="94" t="s">
        <v>435</v>
      </c>
      <c r="D565" s="95">
        <v>3215062</v>
      </c>
      <c r="E565" s="95">
        <v>2</v>
      </c>
      <c r="F565" s="95"/>
      <c r="G565" s="95">
        <v>91110</v>
      </c>
      <c r="H565" s="95" t="s">
        <v>212</v>
      </c>
      <c r="I565" s="95"/>
      <c r="J565" s="95" t="s">
        <v>164</v>
      </c>
      <c r="K565" s="95" t="b">
        <v>1</v>
      </c>
      <c r="L565" s="95">
        <v>13</v>
      </c>
      <c r="M565" s="96">
        <v>2038</v>
      </c>
      <c r="N565" s="97">
        <v>0</v>
      </c>
      <c r="O565" s="98">
        <v>46020</v>
      </c>
      <c r="P565" s="98">
        <v>46020</v>
      </c>
      <c r="Q565" s="99">
        <v>0</v>
      </c>
    </row>
    <row r="566" spans="1:17">
      <c r="A566" s="7">
        <v>2025</v>
      </c>
      <c r="B566" s="8" t="s">
        <v>434</v>
      </c>
      <c r="C566" s="94" t="s">
        <v>435</v>
      </c>
      <c r="D566" s="95">
        <v>3215062</v>
      </c>
      <c r="E566" s="95">
        <v>2</v>
      </c>
      <c r="F566" s="95"/>
      <c r="G566" s="95">
        <v>91110</v>
      </c>
      <c r="H566" s="95" t="s">
        <v>212</v>
      </c>
      <c r="I566" s="95"/>
      <c r="J566" s="95" t="s">
        <v>164</v>
      </c>
      <c r="K566" s="95" t="b">
        <v>1</v>
      </c>
      <c r="L566" s="95">
        <v>6</v>
      </c>
      <c r="M566" s="96">
        <v>2031</v>
      </c>
      <c r="N566" s="97">
        <v>0</v>
      </c>
      <c r="O566" s="98">
        <v>46020</v>
      </c>
      <c r="P566" s="98">
        <v>46020</v>
      </c>
      <c r="Q566" s="99">
        <v>0</v>
      </c>
    </row>
    <row r="567" spans="1:17">
      <c r="A567" s="7">
        <v>2025</v>
      </c>
      <c r="B567" s="8" t="s">
        <v>434</v>
      </c>
      <c r="C567" s="94" t="s">
        <v>435</v>
      </c>
      <c r="D567" s="95">
        <v>3215062</v>
      </c>
      <c r="E567" s="95">
        <v>2</v>
      </c>
      <c r="F567" s="95"/>
      <c r="G567" s="95">
        <v>121000</v>
      </c>
      <c r="H567" s="95">
        <v>12.1</v>
      </c>
      <c r="I567" s="95" t="s">
        <v>447</v>
      </c>
      <c r="J567" s="95" t="s">
        <v>448</v>
      </c>
      <c r="K567" s="95" t="b">
        <v>1</v>
      </c>
      <c r="L567" s="95">
        <v>11</v>
      </c>
      <c r="M567" s="96">
        <v>2036</v>
      </c>
      <c r="N567" s="97">
        <v>0</v>
      </c>
      <c r="O567" s="98">
        <v>46020</v>
      </c>
      <c r="P567" s="98">
        <v>46020</v>
      </c>
      <c r="Q567" s="99">
        <v>0</v>
      </c>
    </row>
    <row r="568" spans="1:17">
      <c r="A568" s="7">
        <v>2025</v>
      </c>
      <c r="B568" s="8" t="s">
        <v>434</v>
      </c>
      <c r="C568" s="94" t="s">
        <v>435</v>
      </c>
      <c r="D568" s="95">
        <v>3215062</v>
      </c>
      <c r="E568" s="95">
        <v>2</v>
      </c>
      <c r="F568" s="95"/>
      <c r="G568" s="95">
        <v>121000</v>
      </c>
      <c r="H568" s="95">
        <v>12.1</v>
      </c>
      <c r="I568" s="95" t="s">
        <v>447</v>
      </c>
      <c r="J568" s="95" t="s">
        <v>448</v>
      </c>
      <c r="K568" s="95" t="b">
        <v>1</v>
      </c>
      <c r="L568" s="95">
        <v>12</v>
      </c>
      <c r="M568" s="96">
        <v>2037</v>
      </c>
      <c r="N568" s="97">
        <v>0</v>
      </c>
      <c r="O568" s="98">
        <v>46020</v>
      </c>
      <c r="P568" s="98">
        <v>46020</v>
      </c>
      <c r="Q568" s="99">
        <v>0</v>
      </c>
    </row>
    <row r="569" spans="1:17">
      <c r="A569" s="7">
        <v>2025</v>
      </c>
      <c r="B569" s="8" t="s">
        <v>434</v>
      </c>
      <c r="C569" s="94" t="s">
        <v>435</v>
      </c>
      <c r="D569" s="95">
        <v>3215062</v>
      </c>
      <c r="E569" s="95">
        <v>2</v>
      </c>
      <c r="F569" s="95"/>
      <c r="G569" s="95">
        <v>121000</v>
      </c>
      <c r="H569" s="95">
        <v>12.1</v>
      </c>
      <c r="I569" s="95" t="s">
        <v>447</v>
      </c>
      <c r="J569" s="95" t="s">
        <v>448</v>
      </c>
      <c r="K569" s="95" t="b">
        <v>1</v>
      </c>
      <c r="L569" s="95">
        <v>4</v>
      </c>
      <c r="M569" s="96">
        <v>2029</v>
      </c>
      <c r="N569" s="97">
        <v>0</v>
      </c>
      <c r="O569" s="98">
        <v>46020</v>
      </c>
      <c r="P569" s="98">
        <v>46020</v>
      </c>
      <c r="Q569" s="99">
        <v>0</v>
      </c>
    </row>
    <row r="570" spans="1:17">
      <c r="A570" s="7">
        <v>2025</v>
      </c>
      <c r="B570" s="8" t="s">
        <v>434</v>
      </c>
      <c r="C570" s="94" t="s">
        <v>435</v>
      </c>
      <c r="D570" s="95">
        <v>3215062</v>
      </c>
      <c r="E570" s="95">
        <v>2</v>
      </c>
      <c r="F570" s="95"/>
      <c r="G570" s="95">
        <v>121000</v>
      </c>
      <c r="H570" s="95">
        <v>12.1</v>
      </c>
      <c r="I570" s="95" t="s">
        <v>447</v>
      </c>
      <c r="J570" s="95" t="s">
        <v>448</v>
      </c>
      <c r="K570" s="95" t="b">
        <v>1</v>
      </c>
      <c r="L570" s="95">
        <v>8</v>
      </c>
      <c r="M570" s="96">
        <v>2033</v>
      </c>
      <c r="N570" s="97">
        <v>0</v>
      </c>
      <c r="O570" s="98">
        <v>46020</v>
      </c>
      <c r="P570" s="98">
        <v>46020</v>
      </c>
      <c r="Q570" s="99">
        <v>0</v>
      </c>
    </row>
    <row r="571" spans="1:17">
      <c r="A571" s="7">
        <v>2025</v>
      </c>
      <c r="B571" s="8" t="s">
        <v>434</v>
      </c>
      <c r="C571" s="94" t="s">
        <v>435</v>
      </c>
      <c r="D571" s="95">
        <v>3215062</v>
      </c>
      <c r="E571" s="95">
        <v>2</v>
      </c>
      <c r="F571" s="95"/>
      <c r="G571" s="95">
        <v>121000</v>
      </c>
      <c r="H571" s="95">
        <v>12.1</v>
      </c>
      <c r="I571" s="95" t="s">
        <v>447</v>
      </c>
      <c r="J571" s="95" t="s">
        <v>448</v>
      </c>
      <c r="K571" s="95" t="b">
        <v>1</v>
      </c>
      <c r="L571" s="95">
        <v>5</v>
      </c>
      <c r="M571" s="96">
        <v>2030</v>
      </c>
      <c r="N571" s="97">
        <v>0</v>
      </c>
      <c r="O571" s="98">
        <v>46020</v>
      </c>
      <c r="P571" s="98">
        <v>46020</v>
      </c>
      <c r="Q571" s="99">
        <v>0</v>
      </c>
    </row>
    <row r="572" spans="1:17">
      <c r="A572" s="7">
        <v>2025</v>
      </c>
      <c r="B572" s="8" t="s">
        <v>434</v>
      </c>
      <c r="C572" s="94" t="s">
        <v>435</v>
      </c>
      <c r="D572" s="95">
        <v>3215062</v>
      </c>
      <c r="E572" s="95">
        <v>2</v>
      </c>
      <c r="F572" s="95"/>
      <c r="G572" s="95">
        <v>121000</v>
      </c>
      <c r="H572" s="95">
        <v>12.1</v>
      </c>
      <c r="I572" s="95" t="s">
        <v>447</v>
      </c>
      <c r="J572" s="95" t="s">
        <v>448</v>
      </c>
      <c r="K572" s="95" t="b">
        <v>1</v>
      </c>
      <c r="L572" s="95">
        <v>13</v>
      </c>
      <c r="M572" s="96">
        <v>2038</v>
      </c>
      <c r="N572" s="97">
        <v>0</v>
      </c>
      <c r="O572" s="98">
        <v>46020</v>
      </c>
      <c r="P572" s="98">
        <v>46020</v>
      </c>
      <c r="Q572" s="99">
        <v>0</v>
      </c>
    </row>
    <row r="573" spans="1:17">
      <c r="A573" s="7">
        <v>2025</v>
      </c>
      <c r="B573" s="8" t="s">
        <v>434</v>
      </c>
      <c r="C573" s="94" t="s">
        <v>435</v>
      </c>
      <c r="D573" s="95">
        <v>3215062</v>
      </c>
      <c r="E573" s="95">
        <v>2</v>
      </c>
      <c r="F573" s="95"/>
      <c r="G573" s="95">
        <v>121000</v>
      </c>
      <c r="H573" s="95">
        <v>12.1</v>
      </c>
      <c r="I573" s="95" t="s">
        <v>447</v>
      </c>
      <c r="J573" s="95" t="s">
        <v>448</v>
      </c>
      <c r="K573" s="95" t="b">
        <v>1</v>
      </c>
      <c r="L573" s="95">
        <v>0</v>
      </c>
      <c r="M573" s="96">
        <v>2025</v>
      </c>
      <c r="N573" s="97">
        <v>0</v>
      </c>
      <c r="O573" s="98">
        <v>46020</v>
      </c>
      <c r="P573" s="98">
        <v>46020</v>
      </c>
      <c r="Q573" s="99">
        <v>0</v>
      </c>
    </row>
    <row r="574" spans="1:17">
      <c r="A574" s="7">
        <v>2025</v>
      </c>
      <c r="B574" s="8" t="s">
        <v>434</v>
      </c>
      <c r="C574" s="94" t="s">
        <v>435</v>
      </c>
      <c r="D574" s="95">
        <v>3215062</v>
      </c>
      <c r="E574" s="95">
        <v>2</v>
      </c>
      <c r="F574" s="95"/>
      <c r="G574" s="95">
        <v>121000</v>
      </c>
      <c r="H574" s="95">
        <v>12.1</v>
      </c>
      <c r="I574" s="95" t="s">
        <v>447</v>
      </c>
      <c r="J574" s="95" t="s">
        <v>448</v>
      </c>
      <c r="K574" s="95" t="b">
        <v>1</v>
      </c>
      <c r="L574" s="95">
        <v>2</v>
      </c>
      <c r="M574" s="96">
        <v>2027</v>
      </c>
      <c r="N574" s="97">
        <v>0</v>
      </c>
      <c r="O574" s="98">
        <v>46020</v>
      </c>
      <c r="P574" s="98">
        <v>46020</v>
      </c>
      <c r="Q574" s="99">
        <v>0</v>
      </c>
    </row>
    <row r="575" spans="1:17">
      <c r="A575" s="7">
        <v>2025</v>
      </c>
      <c r="B575" s="8" t="s">
        <v>434</v>
      </c>
      <c r="C575" s="94" t="s">
        <v>435</v>
      </c>
      <c r="D575" s="95">
        <v>3215062</v>
      </c>
      <c r="E575" s="95">
        <v>2</v>
      </c>
      <c r="F575" s="95"/>
      <c r="G575" s="95">
        <v>121000</v>
      </c>
      <c r="H575" s="95">
        <v>12.1</v>
      </c>
      <c r="I575" s="95" t="s">
        <v>447</v>
      </c>
      <c r="J575" s="95" t="s">
        <v>448</v>
      </c>
      <c r="K575" s="95" t="b">
        <v>1</v>
      </c>
      <c r="L575" s="95">
        <v>1</v>
      </c>
      <c r="M575" s="96">
        <v>2026</v>
      </c>
      <c r="N575" s="97">
        <v>0</v>
      </c>
      <c r="O575" s="98">
        <v>46020</v>
      </c>
      <c r="P575" s="98">
        <v>46020</v>
      </c>
      <c r="Q575" s="99">
        <v>0</v>
      </c>
    </row>
    <row r="576" spans="1:17">
      <c r="A576" s="7">
        <v>2025</v>
      </c>
      <c r="B576" s="8" t="s">
        <v>434</v>
      </c>
      <c r="C576" s="94" t="s">
        <v>435</v>
      </c>
      <c r="D576" s="95">
        <v>3215062</v>
      </c>
      <c r="E576" s="95">
        <v>2</v>
      </c>
      <c r="F576" s="95"/>
      <c r="G576" s="95">
        <v>121000</v>
      </c>
      <c r="H576" s="95">
        <v>12.1</v>
      </c>
      <c r="I576" s="95" t="s">
        <v>447</v>
      </c>
      <c r="J576" s="95" t="s">
        <v>448</v>
      </c>
      <c r="K576" s="95" t="b">
        <v>1</v>
      </c>
      <c r="L576" s="95">
        <v>10</v>
      </c>
      <c r="M576" s="96">
        <v>2035</v>
      </c>
      <c r="N576" s="97">
        <v>0</v>
      </c>
      <c r="O576" s="98">
        <v>46020</v>
      </c>
      <c r="P576" s="98">
        <v>46020</v>
      </c>
      <c r="Q576" s="99">
        <v>0</v>
      </c>
    </row>
    <row r="577" spans="1:17">
      <c r="A577" s="7">
        <v>2025</v>
      </c>
      <c r="B577" s="8" t="s">
        <v>434</v>
      </c>
      <c r="C577" s="94" t="s">
        <v>435</v>
      </c>
      <c r="D577" s="95">
        <v>3215062</v>
      </c>
      <c r="E577" s="95">
        <v>2</v>
      </c>
      <c r="F577" s="95"/>
      <c r="G577" s="95">
        <v>121000</v>
      </c>
      <c r="H577" s="95">
        <v>12.1</v>
      </c>
      <c r="I577" s="95" t="s">
        <v>447</v>
      </c>
      <c r="J577" s="95" t="s">
        <v>448</v>
      </c>
      <c r="K577" s="95" t="b">
        <v>1</v>
      </c>
      <c r="L577" s="95">
        <v>3</v>
      </c>
      <c r="M577" s="96">
        <v>2028</v>
      </c>
      <c r="N577" s="97">
        <v>0</v>
      </c>
      <c r="O577" s="98">
        <v>46020</v>
      </c>
      <c r="P577" s="98">
        <v>46020</v>
      </c>
      <c r="Q577" s="99">
        <v>0</v>
      </c>
    </row>
    <row r="578" spans="1:17">
      <c r="A578" s="7">
        <v>2025</v>
      </c>
      <c r="B578" s="8" t="s">
        <v>434</v>
      </c>
      <c r="C578" s="94" t="s">
        <v>435</v>
      </c>
      <c r="D578" s="95">
        <v>3215062</v>
      </c>
      <c r="E578" s="95">
        <v>2</v>
      </c>
      <c r="F578" s="95"/>
      <c r="G578" s="95">
        <v>121000</v>
      </c>
      <c r="H578" s="95">
        <v>12.1</v>
      </c>
      <c r="I578" s="95" t="s">
        <v>447</v>
      </c>
      <c r="J578" s="95" t="s">
        <v>448</v>
      </c>
      <c r="K578" s="95" t="b">
        <v>1</v>
      </c>
      <c r="L578" s="95">
        <v>7</v>
      </c>
      <c r="M578" s="96">
        <v>2032</v>
      </c>
      <c r="N578" s="97">
        <v>0</v>
      </c>
      <c r="O578" s="98">
        <v>46020</v>
      </c>
      <c r="P578" s="98">
        <v>46020</v>
      </c>
      <c r="Q578" s="99">
        <v>0</v>
      </c>
    </row>
    <row r="579" spans="1:17">
      <c r="A579" s="7">
        <v>2025</v>
      </c>
      <c r="B579" s="8" t="s">
        <v>434</v>
      </c>
      <c r="C579" s="94" t="s">
        <v>435</v>
      </c>
      <c r="D579" s="95">
        <v>3215062</v>
      </c>
      <c r="E579" s="95">
        <v>2</v>
      </c>
      <c r="F579" s="95"/>
      <c r="G579" s="95">
        <v>121000</v>
      </c>
      <c r="H579" s="95">
        <v>12.1</v>
      </c>
      <c r="I579" s="95" t="s">
        <v>447</v>
      </c>
      <c r="J579" s="95" t="s">
        <v>448</v>
      </c>
      <c r="K579" s="95" t="b">
        <v>1</v>
      </c>
      <c r="L579" s="95">
        <v>6</v>
      </c>
      <c r="M579" s="96">
        <v>2031</v>
      </c>
      <c r="N579" s="97">
        <v>0</v>
      </c>
      <c r="O579" s="98">
        <v>46020</v>
      </c>
      <c r="P579" s="98">
        <v>46020</v>
      </c>
      <c r="Q579" s="99">
        <v>0</v>
      </c>
    </row>
    <row r="580" spans="1:17">
      <c r="A580" s="7">
        <v>2025</v>
      </c>
      <c r="B580" s="8" t="s">
        <v>434</v>
      </c>
      <c r="C580" s="94" t="s">
        <v>435</v>
      </c>
      <c r="D580" s="95">
        <v>3215062</v>
      </c>
      <c r="E580" s="95">
        <v>2</v>
      </c>
      <c r="F580" s="95"/>
      <c r="G580" s="95">
        <v>121000</v>
      </c>
      <c r="H580" s="95">
        <v>12.1</v>
      </c>
      <c r="I580" s="95" t="s">
        <v>447</v>
      </c>
      <c r="J580" s="95" t="s">
        <v>448</v>
      </c>
      <c r="K580" s="95" t="b">
        <v>1</v>
      </c>
      <c r="L580" s="95">
        <v>9</v>
      </c>
      <c r="M580" s="96">
        <v>2034</v>
      </c>
      <c r="N580" s="97">
        <v>0</v>
      </c>
      <c r="O580" s="98">
        <v>46020</v>
      </c>
      <c r="P580" s="98">
        <v>46020</v>
      </c>
      <c r="Q580" s="99">
        <v>0</v>
      </c>
    </row>
    <row r="581" spans="1:17">
      <c r="A581" s="7">
        <v>2025</v>
      </c>
      <c r="B581" s="8" t="s">
        <v>434</v>
      </c>
      <c r="C581" s="94" t="s">
        <v>435</v>
      </c>
      <c r="D581" s="95">
        <v>3215062</v>
      </c>
      <c r="E581" s="95">
        <v>2</v>
      </c>
      <c r="F581" s="95"/>
      <c r="G581" s="95">
        <v>44000</v>
      </c>
      <c r="H581" s="95">
        <v>4.4000000000000004</v>
      </c>
      <c r="I581" s="95"/>
      <c r="J581" s="95" t="s">
        <v>137</v>
      </c>
      <c r="K581" s="95" t="b">
        <v>0</v>
      </c>
      <c r="L581" s="95">
        <v>11</v>
      </c>
      <c r="M581" s="96">
        <v>2036</v>
      </c>
      <c r="N581" s="97">
        <v>0</v>
      </c>
      <c r="O581" s="98">
        <v>46020</v>
      </c>
      <c r="P581" s="98">
        <v>46020</v>
      </c>
      <c r="Q581" s="99">
        <v>0</v>
      </c>
    </row>
    <row r="582" spans="1:17">
      <c r="A582" s="7">
        <v>2025</v>
      </c>
      <c r="B582" s="8" t="s">
        <v>434</v>
      </c>
      <c r="C582" s="94" t="s">
        <v>435</v>
      </c>
      <c r="D582" s="95">
        <v>3215062</v>
      </c>
      <c r="E582" s="95">
        <v>2</v>
      </c>
      <c r="F582" s="95"/>
      <c r="G582" s="95">
        <v>44000</v>
      </c>
      <c r="H582" s="95">
        <v>4.4000000000000004</v>
      </c>
      <c r="I582" s="95"/>
      <c r="J582" s="95" t="s">
        <v>137</v>
      </c>
      <c r="K582" s="95" t="b">
        <v>0</v>
      </c>
      <c r="L582" s="95">
        <v>0</v>
      </c>
      <c r="M582" s="96">
        <v>2025</v>
      </c>
      <c r="N582" s="97">
        <v>0</v>
      </c>
      <c r="O582" s="98">
        <v>46020</v>
      </c>
      <c r="P582" s="98">
        <v>46020</v>
      </c>
      <c r="Q582" s="99">
        <v>0</v>
      </c>
    </row>
    <row r="583" spans="1:17">
      <c r="A583" s="7">
        <v>2025</v>
      </c>
      <c r="B583" s="8" t="s">
        <v>434</v>
      </c>
      <c r="C583" s="94" t="s">
        <v>435</v>
      </c>
      <c r="D583" s="95">
        <v>3215062</v>
      </c>
      <c r="E583" s="95">
        <v>2</v>
      </c>
      <c r="F583" s="95"/>
      <c r="G583" s="95">
        <v>44000</v>
      </c>
      <c r="H583" s="95">
        <v>4.4000000000000004</v>
      </c>
      <c r="I583" s="95"/>
      <c r="J583" s="95" t="s">
        <v>137</v>
      </c>
      <c r="K583" s="95" t="b">
        <v>0</v>
      </c>
      <c r="L583" s="95">
        <v>5</v>
      </c>
      <c r="M583" s="96">
        <v>2030</v>
      </c>
      <c r="N583" s="97">
        <v>0</v>
      </c>
      <c r="O583" s="98">
        <v>46020</v>
      </c>
      <c r="P583" s="98">
        <v>46020</v>
      </c>
      <c r="Q583" s="99">
        <v>0</v>
      </c>
    </row>
    <row r="584" spans="1:17">
      <c r="A584" s="7">
        <v>2025</v>
      </c>
      <c r="B584" s="8" t="s">
        <v>434</v>
      </c>
      <c r="C584" s="94" t="s">
        <v>435</v>
      </c>
      <c r="D584" s="95">
        <v>3215062</v>
      </c>
      <c r="E584" s="95">
        <v>2</v>
      </c>
      <c r="F584" s="95"/>
      <c r="G584" s="95">
        <v>44000</v>
      </c>
      <c r="H584" s="95">
        <v>4.4000000000000004</v>
      </c>
      <c r="I584" s="95"/>
      <c r="J584" s="95" t="s">
        <v>137</v>
      </c>
      <c r="K584" s="95" t="b">
        <v>0</v>
      </c>
      <c r="L584" s="95">
        <v>12</v>
      </c>
      <c r="M584" s="96">
        <v>2037</v>
      </c>
      <c r="N584" s="97">
        <v>0</v>
      </c>
      <c r="O584" s="98">
        <v>46020</v>
      </c>
      <c r="P584" s="98">
        <v>46020</v>
      </c>
      <c r="Q584" s="99">
        <v>0</v>
      </c>
    </row>
    <row r="585" spans="1:17">
      <c r="A585" s="7">
        <v>2025</v>
      </c>
      <c r="B585" s="8" t="s">
        <v>434</v>
      </c>
      <c r="C585" s="94" t="s">
        <v>435</v>
      </c>
      <c r="D585" s="95">
        <v>3215062</v>
      </c>
      <c r="E585" s="95">
        <v>2</v>
      </c>
      <c r="F585" s="95"/>
      <c r="G585" s="95">
        <v>44000</v>
      </c>
      <c r="H585" s="95">
        <v>4.4000000000000004</v>
      </c>
      <c r="I585" s="95"/>
      <c r="J585" s="95" t="s">
        <v>137</v>
      </c>
      <c r="K585" s="95" t="b">
        <v>0</v>
      </c>
      <c r="L585" s="95">
        <v>7</v>
      </c>
      <c r="M585" s="96">
        <v>2032</v>
      </c>
      <c r="N585" s="97">
        <v>0</v>
      </c>
      <c r="O585" s="98">
        <v>46020</v>
      </c>
      <c r="P585" s="98">
        <v>46020</v>
      </c>
      <c r="Q585" s="99">
        <v>0</v>
      </c>
    </row>
    <row r="586" spans="1:17">
      <c r="A586" s="7">
        <v>2025</v>
      </c>
      <c r="B586" s="8" t="s">
        <v>434</v>
      </c>
      <c r="C586" s="94" t="s">
        <v>435</v>
      </c>
      <c r="D586" s="95">
        <v>3215062</v>
      </c>
      <c r="E586" s="95">
        <v>2</v>
      </c>
      <c r="F586" s="95"/>
      <c r="G586" s="95">
        <v>44000</v>
      </c>
      <c r="H586" s="95">
        <v>4.4000000000000004</v>
      </c>
      <c r="I586" s="95"/>
      <c r="J586" s="95" t="s">
        <v>137</v>
      </c>
      <c r="K586" s="95" t="b">
        <v>0</v>
      </c>
      <c r="L586" s="95">
        <v>2</v>
      </c>
      <c r="M586" s="96">
        <v>2027</v>
      </c>
      <c r="N586" s="97">
        <v>0</v>
      </c>
      <c r="O586" s="98">
        <v>46020</v>
      </c>
      <c r="P586" s="98">
        <v>46020</v>
      </c>
      <c r="Q586" s="99">
        <v>0</v>
      </c>
    </row>
    <row r="587" spans="1:17">
      <c r="A587" s="7">
        <v>2025</v>
      </c>
      <c r="B587" s="8" t="s">
        <v>434</v>
      </c>
      <c r="C587" s="94" t="s">
        <v>435</v>
      </c>
      <c r="D587" s="95">
        <v>3215062</v>
      </c>
      <c r="E587" s="95">
        <v>2</v>
      </c>
      <c r="F587" s="95"/>
      <c r="G587" s="95">
        <v>44000</v>
      </c>
      <c r="H587" s="95">
        <v>4.4000000000000004</v>
      </c>
      <c r="I587" s="95"/>
      <c r="J587" s="95" t="s">
        <v>137</v>
      </c>
      <c r="K587" s="95" t="b">
        <v>0</v>
      </c>
      <c r="L587" s="95">
        <v>4</v>
      </c>
      <c r="M587" s="96">
        <v>2029</v>
      </c>
      <c r="N587" s="97">
        <v>0</v>
      </c>
      <c r="O587" s="98">
        <v>46020</v>
      </c>
      <c r="P587" s="98">
        <v>46020</v>
      </c>
      <c r="Q587" s="99">
        <v>0</v>
      </c>
    </row>
    <row r="588" spans="1:17">
      <c r="A588" s="7">
        <v>2025</v>
      </c>
      <c r="B588" s="8" t="s">
        <v>434</v>
      </c>
      <c r="C588" s="94" t="s">
        <v>435</v>
      </c>
      <c r="D588" s="95">
        <v>3215062</v>
      </c>
      <c r="E588" s="95">
        <v>2</v>
      </c>
      <c r="F588" s="95"/>
      <c r="G588" s="95">
        <v>44000</v>
      </c>
      <c r="H588" s="95">
        <v>4.4000000000000004</v>
      </c>
      <c r="I588" s="95"/>
      <c r="J588" s="95" t="s">
        <v>137</v>
      </c>
      <c r="K588" s="95" t="b">
        <v>0</v>
      </c>
      <c r="L588" s="95">
        <v>1</v>
      </c>
      <c r="M588" s="96">
        <v>2026</v>
      </c>
      <c r="N588" s="97">
        <v>0</v>
      </c>
      <c r="O588" s="98">
        <v>46020</v>
      </c>
      <c r="P588" s="98">
        <v>46020</v>
      </c>
      <c r="Q588" s="99">
        <v>0</v>
      </c>
    </row>
    <row r="589" spans="1:17">
      <c r="A589" s="7">
        <v>2025</v>
      </c>
      <c r="B589" s="8" t="s">
        <v>434</v>
      </c>
      <c r="C589" s="94" t="s">
        <v>435</v>
      </c>
      <c r="D589" s="95">
        <v>3215062</v>
      </c>
      <c r="E589" s="95">
        <v>2</v>
      </c>
      <c r="F589" s="95"/>
      <c r="G589" s="95">
        <v>44000</v>
      </c>
      <c r="H589" s="95">
        <v>4.4000000000000004</v>
      </c>
      <c r="I589" s="95"/>
      <c r="J589" s="95" t="s">
        <v>137</v>
      </c>
      <c r="K589" s="95" t="b">
        <v>0</v>
      </c>
      <c r="L589" s="95">
        <v>9</v>
      </c>
      <c r="M589" s="96">
        <v>2034</v>
      </c>
      <c r="N589" s="97">
        <v>0</v>
      </c>
      <c r="O589" s="98">
        <v>46020</v>
      </c>
      <c r="P589" s="98">
        <v>46020</v>
      </c>
      <c r="Q589" s="99">
        <v>0</v>
      </c>
    </row>
    <row r="590" spans="1:17">
      <c r="A590" s="7">
        <v>2025</v>
      </c>
      <c r="B590" s="8" t="s">
        <v>434</v>
      </c>
      <c r="C590" s="94" t="s">
        <v>435</v>
      </c>
      <c r="D590" s="95">
        <v>3215062</v>
      </c>
      <c r="E590" s="95">
        <v>2</v>
      </c>
      <c r="F590" s="95"/>
      <c r="G590" s="95">
        <v>44000</v>
      </c>
      <c r="H590" s="95">
        <v>4.4000000000000004</v>
      </c>
      <c r="I590" s="95"/>
      <c r="J590" s="95" t="s">
        <v>137</v>
      </c>
      <c r="K590" s="95" t="b">
        <v>0</v>
      </c>
      <c r="L590" s="95">
        <v>6</v>
      </c>
      <c r="M590" s="96">
        <v>2031</v>
      </c>
      <c r="N590" s="97">
        <v>0</v>
      </c>
      <c r="O590" s="98">
        <v>46020</v>
      </c>
      <c r="P590" s="98">
        <v>46020</v>
      </c>
      <c r="Q590" s="99">
        <v>0</v>
      </c>
    </row>
    <row r="591" spans="1:17">
      <c r="A591" s="7">
        <v>2025</v>
      </c>
      <c r="B591" s="8" t="s">
        <v>434</v>
      </c>
      <c r="C591" s="94" t="s">
        <v>435</v>
      </c>
      <c r="D591" s="95">
        <v>3215062</v>
      </c>
      <c r="E591" s="95">
        <v>2</v>
      </c>
      <c r="F591" s="95"/>
      <c r="G591" s="95">
        <v>44000</v>
      </c>
      <c r="H591" s="95">
        <v>4.4000000000000004</v>
      </c>
      <c r="I591" s="95"/>
      <c r="J591" s="95" t="s">
        <v>137</v>
      </c>
      <c r="K591" s="95" t="b">
        <v>0</v>
      </c>
      <c r="L591" s="95">
        <v>8</v>
      </c>
      <c r="M591" s="96">
        <v>2033</v>
      </c>
      <c r="N591" s="97">
        <v>0</v>
      </c>
      <c r="O591" s="98">
        <v>46020</v>
      </c>
      <c r="P591" s="98">
        <v>46020</v>
      </c>
      <c r="Q591" s="99">
        <v>0</v>
      </c>
    </row>
    <row r="592" spans="1:17">
      <c r="A592" s="7">
        <v>2025</v>
      </c>
      <c r="B592" s="8" t="s">
        <v>434</v>
      </c>
      <c r="C592" s="94" t="s">
        <v>435</v>
      </c>
      <c r="D592" s="95">
        <v>3215062</v>
      </c>
      <c r="E592" s="95">
        <v>2</v>
      </c>
      <c r="F592" s="95"/>
      <c r="G592" s="95">
        <v>44000</v>
      </c>
      <c r="H592" s="95">
        <v>4.4000000000000004</v>
      </c>
      <c r="I592" s="95"/>
      <c r="J592" s="95" t="s">
        <v>137</v>
      </c>
      <c r="K592" s="95" t="b">
        <v>0</v>
      </c>
      <c r="L592" s="95">
        <v>10</v>
      </c>
      <c r="M592" s="96">
        <v>2035</v>
      </c>
      <c r="N592" s="97">
        <v>0</v>
      </c>
      <c r="O592" s="98">
        <v>46020</v>
      </c>
      <c r="P592" s="98">
        <v>46020</v>
      </c>
      <c r="Q592" s="99">
        <v>0</v>
      </c>
    </row>
    <row r="593" spans="1:17">
      <c r="A593" s="7">
        <v>2025</v>
      </c>
      <c r="B593" s="8" t="s">
        <v>434</v>
      </c>
      <c r="C593" s="94" t="s">
        <v>435</v>
      </c>
      <c r="D593" s="95">
        <v>3215062</v>
      </c>
      <c r="E593" s="95">
        <v>2</v>
      </c>
      <c r="F593" s="95"/>
      <c r="G593" s="95">
        <v>44000</v>
      </c>
      <c r="H593" s="95">
        <v>4.4000000000000004</v>
      </c>
      <c r="I593" s="95"/>
      <c r="J593" s="95" t="s">
        <v>137</v>
      </c>
      <c r="K593" s="95" t="b">
        <v>0</v>
      </c>
      <c r="L593" s="95">
        <v>3</v>
      </c>
      <c r="M593" s="96">
        <v>2028</v>
      </c>
      <c r="N593" s="97">
        <v>0</v>
      </c>
      <c r="O593" s="98">
        <v>46020</v>
      </c>
      <c r="P593" s="98">
        <v>46020</v>
      </c>
      <c r="Q593" s="99">
        <v>0</v>
      </c>
    </row>
    <row r="594" spans="1:17">
      <c r="A594" s="7">
        <v>2025</v>
      </c>
      <c r="B594" s="8" t="s">
        <v>434</v>
      </c>
      <c r="C594" s="94" t="s">
        <v>435</v>
      </c>
      <c r="D594" s="95">
        <v>3215062</v>
      </c>
      <c r="E594" s="95">
        <v>2</v>
      </c>
      <c r="F594" s="95"/>
      <c r="G594" s="95">
        <v>44000</v>
      </c>
      <c r="H594" s="95">
        <v>4.4000000000000004</v>
      </c>
      <c r="I594" s="95"/>
      <c r="J594" s="95" t="s">
        <v>137</v>
      </c>
      <c r="K594" s="95" t="b">
        <v>0</v>
      </c>
      <c r="L594" s="95">
        <v>13</v>
      </c>
      <c r="M594" s="96">
        <v>2038</v>
      </c>
      <c r="N594" s="97">
        <v>0</v>
      </c>
      <c r="O594" s="98">
        <v>46020</v>
      </c>
      <c r="P594" s="98">
        <v>46020</v>
      </c>
      <c r="Q594" s="99">
        <v>0</v>
      </c>
    </row>
    <row r="595" spans="1:17">
      <c r="A595" s="7">
        <v>2025</v>
      </c>
      <c r="B595" s="8" t="s">
        <v>434</v>
      </c>
      <c r="C595" s="94" t="s">
        <v>435</v>
      </c>
      <c r="D595" s="95">
        <v>3215062</v>
      </c>
      <c r="E595" s="95">
        <v>2</v>
      </c>
      <c r="F595" s="95"/>
      <c r="G595" s="95">
        <v>81220</v>
      </c>
      <c r="H595" s="95" t="s">
        <v>205</v>
      </c>
      <c r="I595" s="95" t="s">
        <v>449</v>
      </c>
      <c r="J595" s="95" t="s">
        <v>153</v>
      </c>
      <c r="K595" s="95" t="b">
        <v>1</v>
      </c>
      <c r="L595" s="95">
        <v>2</v>
      </c>
      <c r="M595" s="96">
        <v>2027</v>
      </c>
      <c r="N595" s="97">
        <v>2.1100000000000001E-2</v>
      </c>
      <c r="O595" s="98">
        <v>46020</v>
      </c>
      <c r="P595" s="98">
        <v>46020</v>
      </c>
      <c r="Q595" s="99">
        <v>0</v>
      </c>
    </row>
    <row r="596" spans="1:17">
      <c r="A596" s="7">
        <v>2025</v>
      </c>
      <c r="B596" s="8" t="s">
        <v>434</v>
      </c>
      <c r="C596" s="94" t="s">
        <v>435</v>
      </c>
      <c r="D596" s="95">
        <v>3215062</v>
      </c>
      <c r="E596" s="95">
        <v>2</v>
      </c>
      <c r="F596" s="95"/>
      <c r="G596" s="95">
        <v>81220</v>
      </c>
      <c r="H596" s="95" t="s">
        <v>205</v>
      </c>
      <c r="I596" s="95" t="s">
        <v>449</v>
      </c>
      <c r="J596" s="95" t="s">
        <v>153</v>
      </c>
      <c r="K596" s="95" t="b">
        <v>1</v>
      </c>
      <c r="L596" s="95">
        <v>10</v>
      </c>
      <c r="M596" s="96">
        <v>2035</v>
      </c>
      <c r="N596" s="97">
        <v>3.5999999999999999E-3</v>
      </c>
      <c r="O596" s="98">
        <v>46020</v>
      </c>
      <c r="P596" s="98">
        <v>46020</v>
      </c>
      <c r="Q596" s="99">
        <v>0</v>
      </c>
    </row>
    <row r="597" spans="1:17">
      <c r="A597" s="7">
        <v>2025</v>
      </c>
      <c r="B597" s="8" t="s">
        <v>434</v>
      </c>
      <c r="C597" s="94" t="s">
        <v>435</v>
      </c>
      <c r="D597" s="95">
        <v>3215062</v>
      </c>
      <c r="E597" s="95">
        <v>2</v>
      </c>
      <c r="F597" s="95"/>
      <c r="G597" s="95">
        <v>81220</v>
      </c>
      <c r="H597" s="95" t="s">
        <v>205</v>
      </c>
      <c r="I597" s="95" t="s">
        <v>449</v>
      </c>
      <c r="J597" s="95" t="s">
        <v>153</v>
      </c>
      <c r="K597" s="95" t="b">
        <v>1</v>
      </c>
      <c r="L597" s="95">
        <v>9</v>
      </c>
      <c r="M597" s="96">
        <v>2034</v>
      </c>
      <c r="N597" s="97">
        <v>6.7000000000000002E-3</v>
      </c>
      <c r="O597" s="98">
        <v>46020</v>
      </c>
      <c r="P597" s="98">
        <v>46020</v>
      </c>
      <c r="Q597" s="99">
        <v>0</v>
      </c>
    </row>
    <row r="598" spans="1:17">
      <c r="A598" s="7">
        <v>2025</v>
      </c>
      <c r="B598" s="8" t="s">
        <v>434</v>
      </c>
      <c r="C598" s="94" t="s">
        <v>435</v>
      </c>
      <c r="D598" s="95">
        <v>3215062</v>
      </c>
      <c r="E598" s="95">
        <v>2</v>
      </c>
      <c r="F598" s="95"/>
      <c r="G598" s="95">
        <v>81220</v>
      </c>
      <c r="H598" s="95" t="s">
        <v>205</v>
      </c>
      <c r="I598" s="95" t="s">
        <v>449</v>
      </c>
      <c r="J598" s="95" t="s">
        <v>153</v>
      </c>
      <c r="K598" s="95" t="b">
        <v>1</v>
      </c>
      <c r="L598" s="95">
        <v>11</v>
      </c>
      <c r="M598" s="96">
        <v>2036</v>
      </c>
      <c r="N598" s="97">
        <v>1.4E-3</v>
      </c>
      <c r="O598" s="98">
        <v>46020</v>
      </c>
      <c r="P598" s="98">
        <v>46020</v>
      </c>
      <c r="Q598" s="99">
        <v>0</v>
      </c>
    </row>
    <row r="599" spans="1:17">
      <c r="A599" s="7">
        <v>2025</v>
      </c>
      <c r="B599" s="8" t="s">
        <v>434</v>
      </c>
      <c r="C599" s="94" t="s">
        <v>435</v>
      </c>
      <c r="D599" s="95">
        <v>3215062</v>
      </c>
      <c r="E599" s="95">
        <v>2</v>
      </c>
      <c r="F599" s="95"/>
      <c r="G599" s="95">
        <v>81220</v>
      </c>
      <c r="H599" s="95" t="s">
        <v>205</v>
      </c>
      <c r="I599" s="95" t="s">
        <v>449</v>
      </c>
      <c r="J599" s="95" t="s">
        <v>153</v>
      </c>
      <c r="K599" s="95" t="b">
        <v>1</v>
      </c>
      <c r="L599" s="95">
        <v>0</v>
      </c>
      <c r="M599" s="96">
        <v>2025</v>
      </c>
      <c r="N599" s="97">
        <v>1.95E-2</v>
      </c>
      <c r="O599" s="98">
        <v>46020</v>
      </c>
      <c r="P599" s="98">
        <v>46020</v>
      </c>
      <c r="Q599" s="99">
        <v>0</v>
      </c>
    </row>
    <row r="600" spans="1:17">
      <c r="A600" s="7">
        <v>2025</v>
      </c>
      <c r="B600" s="8" t="s">
        <v>434</v>
      </c>
      <c r="C600" s="94" t="s">
        <v>435</v>
      </c>
      <c r="D600" s="95">
        <v>3215062</v>
      </c>
      <c r="E600" s="95">
        <v>2</v>
      </c>
      <c r="F600" s="95"/>
      <c r="G600" s="95">
        <v>81220</v>
      </c>
      <c r="H600" s="95" t="s">
        <v>205</v>
      </c>
      <c r="I600" s="95" t="s">
        <v>449</v>
      </c>
      <c r="J600" s="95" t="s">
        <v>153</v>
      </c>
      <c r="K600" s="95" t="b">
        <v>1</v>
      </c>
      <c r="L600" s="95">
        <v>7</v>
      </c>
      <c r="M600" s="96">
        <v>2032</v>
      </c>
      <c r="N600" s="97">
        <v>4.5999999999999999E-3</v>
      </c>
      <c r="O600" s="98">
        <v>46020</v>
      </c>
      <c r="P600" s="98">
        <v>46020</v>
      </c>
      <c r="Q600" s="99">
        <v>0</v>
      </c>
    </row>
    <row r="601" spans="1:17">
      <c r="A601" s="7">
        <v>2025</v>
      </c>
      <c r="B601" s="8" t="s">
        <v>434</v>
      </c>
      <c r="C601" s="94" t="s">
        <v>435</v>
      </c>
      <c r="D601" s="95">
        <v>3215062</v>
      </c>
      <c r="E601" s="95">
        <v>2</v>
      </c>
      <c r="F601" s="95"/>
      <c r="G601" s="95">
        <v>81220</v>
      </c>
      <c r="H601" s="95" t="s">
        <v>205</v>
      </c>
      <c r="I601" s="95" t="s">
        <v>449</v>
      </c>
      <c r="J601" s="95" t="s">
        <v>153</v>
      </c>
      <c r="K601" s="95" t="b">
        <v>1</v>
      </c>
      <c r="L601" s="95">
        <v>12</v>
      </c>
      <c r="M601" s="96">
        <v>2037</v>
      </c>
      <c r="N601" s="97">
        <v>1.4E-3</v>
      </c>
      <c r="O601" s="98">
        <v>46020</v>
      </c>
      <c r="P601" s="98">
        <v>46020</v>
      </c>
      <c r="Q601" s="99">
        <v>0</v>
      </c>
    </row>
    <row r="602" spans="1:17">
      <c r="A602" s="7">
        <v>2025</v>
      </c>
      <c r="B602" s="8" t="s">
        <v>434</v>
      </c>
      <c r="C602" s="94" t="s">
        <v>435</v>
      </c>
      <c r="D602" s="95">
        <v>3215062</v>
      </c>
      <c r="E602" s="95">
        <v>2</v>
      </c>
      <c r="F602" s="95"/>
      <c r="G602" s="95">
        <v>81220</v>
      </c>
      <c r="H602" s="95" t="s">
        <v>205</v>
      </c>
      <c r="I602" s="95" t="s">
        <v>449</v>
      </c>
      <c r="J602" s="95" t="s">
        <v>153</v>
      </c>
      <c r="K602" s="95" t="b">
        <v>1</v>
      </c>
      <c r="L602" s="95">
        <v>8</v>
      </c>
      <c r="M602" s="96">
        <v>2033</v>
      </c>
      <c r="N602" s="97">
        <v>4.1000000000000003E-3</v>
      </c>
      <c r="O602" s="98">
        <v>46020</v>
      </c>
      <c r="P602" s="98">
        <v>46020</v>
      </c>
      <c r="Q602" s="99">
        <v>0</v>
      </c>
    </row>
    <row r="603" spans="1:17">
      <c r="A603" s="7">
        <v>2025</v>
      </c>
      <c r="B603" s="8" t="s">
        <v>434</v>
      </c>
      <c r="C603" s="94" t="s">
        <v>435</v>
      </c>
      <c r="D603" s="95">
        <v>3215062</v>
      </c>
      <c r="E603" s="95">
        <v>2</v>
      </c>
      <c r="F603" s="95"/>
      <c r="G603" s="95">
        <v>81220</v>
      </c>
      <c r="H603" s="95" t="s">
        <v>205</v>
      </c>
      <c r="I603" s="95" t="s">
        <v>449</v>
      </c>
      <c r="J603" s="95" t="s">
        <v>153</v>
      </c>
      <c r="K603" s="95" t="b">
        <v>1</v>
      </c>
      <c r="L603" s="95">
        <v>4</v>
      </c>
      <c r="M603" s="96">
        <v>2029</v>
      </c>
      <c r="N603" s="97">
        <v>1.29E-2</v>
      </c>
      <c r="O603" s="98">
        <v>46020</v>
      </c>
      <c r="P603" s="98">
        <v>46020</v>
      </c>
      <c r="Q603" s="99">
        <v>0</v>
      </c>
    </row>
    <row r="604" spans="1:17">
      <c r="A604" s="7">
        <v>2025</v>
      </c>
      <c r="B604" s="8" t="s">
        <v>434</v>
      </c>
      <c r="C604" s="94" t="s">
        <v>435</v>
      </c>
      <c r="D604" s="95">
        <v>3215062</v>
      </c>
      <c r="E604" s="95">
        <v>2</v>
      </c>
      <c r="F604" s="95"/>
      <c r="G604" s="95">
        <v>81220</v>
      </c>
      <c r="H604" s="95" t="s">
        <v>205</v>
      </c>
      <c r="I604" s="95" t="s">
        <v>449</v>
      </c>
      <c r="J604" s="95" t="s">
        <v>153</v>
      </c>
      <c r="K604" s="95" t="b">
        <v>1</v>
      </c>
      <c r="L604" s="95">
        <v>6</v>
      </c>
      <c r="M604" s="96">
        <v>2031</v>
      </c>
      <c r="N604" s="97">
        <v>5.1000000000000004E-3</v>
      </c>
      <c r="O604" s="98">
        <v>46020</v>
      </c>
      <c r="P604" s="98">
        <v>46020</v>
      </c>
      <c r="Q604" s="99">
        <v>0</v>
      </c>
    </row>
    <row r="605" spans="1:17">
      <c r="A605" s="7">
        <v>2025</v>
      </c>
      <c r="B605" s="8" t="s">
        <v>434</v>
      </c>
      <c r="C605" s="94" t="s">
        <v>435</v>
      </c>
      <c r="D605" s="95">
        <v>3215062</v>
      </c>
      <c r="E605" s="95">
        <v>2</v>
      </c>
      <c r="F605" s="95"/>
      <c r="G605" s="95">
        <v>81220</v>
      </c>
      <c r="H605" s="95" t="s">
        <v>205</v>
      </c>
      <c r="I605" s="95" t="s">
        <v>449</v>
      </c>
      <c r="J605" s="95" t="s">
        <v>153</v>
      </c>
      <c r="K605" s="95" t="b">
        <v>1</v>
      </c>
      <c r="L605" s="95">
        <v>3</v>
      </c>
      <c r="M605" s="96">
        <v>2028</v>
      </c>
      <c r="N605" s="97">
        <v>1.5900000000000001E-2</v>
      </c>
      <c r="O605" s="98">
        <v>46020</v>
      </c>
      <c r="P605" s="98">
        <v>46020</v>
      </c>
      <c r="Q605" s="99">
        <v>0</v>
      </c>
    </row>
    <row r="606" spans="1:17">
      <c r="A606" s="7">
        <v>2025</v>
      </c>
      <c r="B606" s="8" t="s">
        <v>434</v>
      </c>
      <c r="C606" s="94" t="s">
        <v>435</v>
      </c>
      <c r="D606" s="95">
        <v>3215062</v>
      </c>
      <c r="E606" s="95">
        <v>2</v>
      </c>
      <c r="F606" s="95"/>
      <c r="G606" s="95">
        <v>81220</v>
      </c>
      <c r="H606" s="95" t="s">
        <v>205</v>
      </c>
      <c r="I606" s="95" t="s">
        <v>449</v>
      </c>
      <c r="J606" s="95" t="s">
        <v>153</v>
      </c>
      <c r="K606" s="95" t="b">
        <v>1</v>
      </c>
      <c r="L606" s="95">
        <v>13</v>
      </c>
      <c r="M606" s="96">
        <v>2038</v>
      </c>
      <c r="N606" s="97">
        <v>1.1999999999999999E-3</v>
      </c>
      <c r="O606" s="98">
        <v>46020</v>
      </c>
      <c r="P606" s="98">
        <v>46020</v>
      </c>
      <c r="Q606" s="99">
        <v>0</v>
      </c>
    </row>
    <row r="607" spans="1:17">
      <c r="A607" s="7">
        <v>2025</v>
      </c>
      <c r="B607" s="8" t="s">
        <v>434</v>
      </c>
      <c r="C607" s="94" t="s">
        <v>435</v>
      </c>
      <c r="D607" s="95">
        <v>3215062</v>
      </c>
      <c r="E607" s="95">
        <v>2</v>
      </c>
      <c r="F607" s="95"/>
      <c r="G607" s="95">
        <v>81220</v>
      </c>
      <c r="H607" s="95" t="s">
        <v>205</v>
      </c>
      <c r="I607" s="95" t="s">
        <v>449</v>
      </c>
      <c r="J607" s="95" t="s">
        <v>153</v>
      </c>
      <c r="K607" s="95" t="b">
        <v>1</v>
      </c>
      <c r="L607" s="95">
        <v>5</v>
      </c>
      <c r="M607" s="96">
        <v>2030</v>
      </c>
      <c r="N607" s="97">
        <v>5.5999999999999999E-3</v>
      </c>
      <c r="O607" s="98">
        <v>46020</v>
      </c>
      <c r="P607" s="98">
        <v>46020</v>
      </c>
      <c r="Q607" s="99">
        <v>0</v>
      </c>
    </row>
    <row r="608" spans="1:17">
      <c r="A608" s="7">
        <v>2025</v>
      </c>
      <c r="B608" s="8" t="s">
        <v>434</v>
      </c>
      <c r="C608" s="94" t="s">
        <v>435</v>
      </c>
      <c r="D608" s="95">
        <v>3215062</v>
      </c>
      <c r="E608" s="95">
        <v>2</v>
      </c>
      <c r="F608" s="95"/>
      <c r="G608" s="95">
        <v>81220</v>
      </c>
      <c r="H608" s="95" t="s">
        <v>205</v>
      </c>
      <c r="I608" s="95" t="s">
        <v>449</v>
      </c>
      <c r="J608" s="95" t="s">
        <v>153</v>
      </c>
      <c r="K608" s="95" t="b">
        <v>1</v>
      </c>
      <c r="L608" s="95">
        <v>1</v>
      </c>
      <c r="M608" s="96">
        <v>2026</v>
      </c>
      <c r="N608" s="97">
        <v>2.2200000000000001E-2</v>
      </c>
      <c r="O608" s="98">
        <v>46020</v>
      </c>
      <c r="P608" s="98">
        <v>46020</v>
      </c>
      <c r="Q608" s="99">
        <v>0</v>
      </c>
    </row>
    <row r="609" spans="1:17">
      <c r="A609" s="7">
        <v>2025</v>
      </c>
      <c r="B609" s="8" t="s">
        <v>434</v>
      </c>
      <c r="C609" s="94" t="s">
        <v>435</v>
      </c>
      <c r="D609" s="95">
        <v>3215062</v>
      </c>
      <c r="E609" s="95">
        <v>2</v>
      </c>
      <c r="F609" s="95"/>
      <c r="G609" s="95">
        <v>91000</v>
      </c>
      <c r="H609" s="95">
        <v>9.1</v>
      </c>
      <c r="I609" s="95"/>
      <c r="J609" s="95" t="s">
        <v>162</v>
      </c>
      <c r="K609" s="95" t="b">
        <v>1</v>
      </c>
      <c r="L609" s="95">
        <v>9</v>
      </c>
      <c r="M609" s="96">
        <v>2034</v>
      </c>
      <c r="N609" s="97">
        <v>0</v>
      </c>
      <c r="O609" s="98">
        <v>46020</v>
      </c>
      <c r="P609" s="98">
        <v>46020</v>
      </c>
      <c r="Q609" s="99">
        <v>0</v>
      </c>
    </row>
    <row r="610" spans="1:17">
      <c r="A610" s="7">
        <v>2025</v>
      </c>
      <c r="B610" s="8" t="s">
        <v>434</v>
      </c>
      <c r="C610" s="94" t="s">
        <v>435</v>
      </c>
      <c r="D610" s="95">
        <v>3215062</v>
      </c>
      <c r="E610" s="95">
        <v>2</v>
      </c>
      <c r="F610" s="95"/>
      <c r="G610" s="95">
        <v>91000</v>
      </c>
      <c r="H610" s="95">
        <v>9.1</v>
      </c>
      <c r="I610" s="95"/>
      <c r="J610" s="95" t="s">
        <v>162</v>
      </c>
      <c r="K610" s="95" t="b">
        <v>1</v>
      </c>
      <c r="L610" s="95">
        <v>13</v>
      </c>
      <c r="M610" s="96">
        <v>2038</v>
      </c>
      <c r="N610" s="97">
        <v>0</v>
      </c>
      <c r="O610" s="98">
        <v>46020</v>
      </c>
      <c r="P610" s="98">
        <v>46020</v>
      </c>
      <c r="Q610" s="99">
        <v>0</v>
      </c>
    </row>
    <row r="611" spans="1:17">
      <c r="A611" s="7">
        <v>2025</v>
      </c>
      <c r="B611" s="8" t="s">
        <v>434</v>
      </c>
      <c r="C611" s="94" t="s">
        <v>435</v>
      </c>
      <c r="D611" s="95">
        <v>3215062</v>
      </c>
      <c r="E611" s="95">
        <v>2</v>
      </c>
      <c r="F611" s="95"/>
      <c r="G611" s="95">
        <v>91000</v>
      </c>
      <c r="H611" s="95">
        <v>9.1</v>
      </c>
      <c r="I611" s="95"/>
      <c r="J611" s="95" t="s">
        <v>162</v>
      </c>
      <c r="K611" s="95" t="b">
        <v>1</v>
      </c>
      <c r="L611" s="95">
        <v>10</v>
      </c>
      <c r="M611" s="96">
        <v>2035</v>
      </c>
      <c r="N611" s="97">
        <v>0</v>
      </c>
      <c r="O611" s="98">
        <v>46020</v>
      </c>
      <c r="P611" s="98">
        <v>46020</v>
      </c>
      <c r="Q611" s="99">
        <v>0</v>
      </c>
    </row>
    <row r="612" spans="1:17">
      <c r="A612" s="7">
        <v>2025</v>
      </c>
      <c r="B612" s="8" t="s">
        <v>434</v>
      </c>
      <c r="C612" s="94" t="s">
        <v>435</v>
      </c>
      <c r="D612" s="95">
        <v>3215062</v>
      </c>
      <c r="E612" s="95">
        <v>2</v>
      </c>
      <c r="F612" s="95"/>
      <c r="G612" s="95">
        <v>91000</v>
      </c>
      <c r="H612" s="95">
        <v>9.1</v>
      </c>
      <c r="I612" s="95"/>
      <c r="J612" s="95" t="s">
        <v>162</v>
      </c>
      <c r="K612" s="95" t="b">
        <v>1</v>
      </c>
      <c r="L612" s="95">
        <v>2</v>
      </c>
      <c r="M612" s="96">
        <v>2027</v>
      </c>
      <c r="N612" s="97">
        <v>525030.07999999996</v>
      </c>
      <c r="O612" s="98">
        <v>46020</v>
      </c>
      <c r="P612" s="98">
        <v>46020</v>
      </c>
      <c r="Q612" s="99">
        <v>0</v>
      </c>
    </row>
    <row r="613" spans="1:17">
      <c r="A613" s="7">
        <v>2025</v>
      </c>
      <c r="B613" s="8" t="s">
        <v>434</v>
      </c>
      <c r="C613" s="94" t="s">
        <v>435</v>
      </c>
      <c r="D613" s="95">
        <v>3215062</v>
      </c>
      <c r="E613" s="95">
        <v>2</v>
      </c>
      <c r="F613" s="95"/>
      <c r="G613" s="95">
        <v>91000</v>
      </c>
      <c r="H613" s="95">
        <v>9.1</v>
      </c>
      <c r="I613" s="95"/>
      <c r="J613" s="95" t="s">
        <v>162</v>
      </c>
      <c r="K613" s="95" t="b">
        <v>1</v>
      </c>
      <c r="L613" s="95">
        <v>7</v>
      </c>
      <c r="M613" s="96">
        <v>2032</v>
      </c>
      <c r="N613" s="97">
        <v>0</v>
      </c>
      <c r="O613" s="98">
        <v>46020</v>
      </c>
      <c r="P613" s="98">
        <v>46020</v>
      </c>
      <c r="Q613" s="99">
        <v>0</v>
      </c>
    </row>
    <row r="614" spans="1:17">
      <c r="A614" s="7">
        <v>2025</v>
      </c>
      <c r="B614" s="8" t="s">
        <v>434</v>
      </c>
      <c r="C614" s="94" t="s">
        <v>435</v>
      </c>
      <c r="D614" s="95">
        <v>3215062</v>
      </c>
      <c r="E614" s="95">
        <v>2</v>
      </c>
      <c r="F614" s="95"/>
      <c r="G614" s="95">
        <v>91000</v>
      </c>
      <c r="H614" s="95">
        <v>9.1</v>
      </c>
      <c r="I614" s="95"/>
      <c r="J614" s="95" t="s">
        <v>162</v>
      </c>
      <c r="K614" s="95" t="b">
        <v>1</v>
      </c>
      <c r="L614" s="95">
        <v>3</v>
      </c>
      <c r="M614" s="96">
        <v>2028</v>
      </c>
      <c r="N614" s="97">
        <v>0</v>
      </c>
      <c r="O614" s="98">
        <v>46020</v>
      </c>
      <c r="P614" s="98">
        <v>46020</v>
      </c>
      <c r="Q614" s="99">
        <v>0</v>
      </c>
    </row>
    <row r="615" spans="1:17">
      <c r="A615" s="7">
        <v>2025</v>
      </c>
      <c r="B615" s="8" t="s">
        <v>434</v>
      </c>
      <c r="C615" s="94" t="s">
        <v>435</v>
      </c>
      <c r="D615" s="95">
        <v>3215062</v>
      </c>
      <c r="E615" s="95">
        <v>2</v>
      </c>
      <c r="F615" s="95"/>
      <c r="G615" s="95">
        <v>91000</v>
      </c>
      <c r="H615" s="95">
        <v>9.1</v>
      </c>
      <c r="I615" s="95"/>
      <c r="J615" s="95" t="s">
        <v>162</v>
      </c>
      <c r="K615" s="95" t="b">
        <v>1</v>
      </c>
      <c r="L615" s="95">
        <v>12</v>
      </c>
      <c r="M615" s="96">
        <v>2037</v>
      </c>
      <c r="N615" s="97">
        <v>0</v>
      </c>
      <c r="O615" s="98">
        <v>46020</v>
      </c>
      <c r="P615" s="98">
        <v>46020</v>
      </c>
      <c r="Q615" s="99">
        <v>0</v>
      </c>
    </row>
    <row r="616" spans="1:17">
      <c r="A616" s="7">
        <v>2025</v>
      </c>
      <c r="B616" s="8" t="s">
        <v>434</v>
      </c>
      <c r="C616" s="94" t="s">
        <v>435</v>
      </c>
      <c r="D616" s="95">
        <v>3215062</v>
      </c>
      <c r="E616" s="95">
        <v>2</v>
      </c>
      <c r="F616" s="95"/>
      <c r="G616" s="95">
        <v>91000</v>
      </c>
      <c r="H616" s="95">
        <v>9.1</v>
      </c>
      <c r="I616" s="95"/>
      <c r="J616" s="95" t="s">
        <v>162</v>
      </c>
      <c r="K616" s="95" t="b">
        <v>1</v>
      </c>
      <c r="L616" s="95">
        <v>11</v>
      </c>
      <c r="M616" s="96">
        <v>2036</v>
      </c>
      <c r="N616" s="97">
        <v>0</v>
      </c>
      <c r="O616" s="98">
        <v>46020</v>
      </c>
      <c r="P616" s="98">
        <v>46020</v>
      </c>
      <c r="Q616" s="99">
        <v>0</v>
      </c>
    </row>
    <row r="617" spans="1:17">
      <c r="A617" s="7">
        <v>2025</v>
      </c>
      <c r="B617" s="8" t="s">
        <v>434</v>
      </c>
      <c r="C617" s="94" t="s">
        <v>435</v>
      </c>
      <c r="D617" s="95">
        <v>3215062</v>
      </c>
      <c r="E617" s="95">
        <v>2</v>
      </c>
      <c r="F617" s="95"/>
      <c r="G617" s="95">
        <v>91000</v>
      </c>
      <c r="H617" s="95">
        <v>9.1</v>
      </c>
      <c r="I617" s="95"/>
      <c r="J617" s="95" t="s">
        <v>162</v>
      </c>
      <c r="K617" s="95" t="b">
        <v>1</v>
      </c>
      <c r="L617" s="95">
        <v>8</v>
      </c>
      <c r="M617" s="96">
        <v>2033</v>
      </c>
      <c r="N617" s="97">
        <v>0</v>
      </c>
      <c r="O617" s="98">
        <v>46020</v>
      </c>
      <c r="P617" s="98">
        <v>46020</v>
      </c>
      <c r="Q617" s="99">
        <v>0</v>
      </c>
    </row>
    <row r="618" spans="1:17">
      <c r="A618" s="7">
        <v>2025</v>
      </c>
      <c r="B618" s="8" t="s">
        <v>434</v>
      </c>
      <c r="C618" s="94" t="s">
        <v>435</v>
      </c>
      <c r="D618" s="95">
        <v>3215062</v>
      </c>
      <c r="E618" s="95">
        <v>2</v>
      </c>
      <c r="F618" s="95"/>
      <c r="G618" s="95">
        <v>91000</v>
      </c>
      <c r="H618" s="95">
        <v>9.1</v>
      </c>
      <c r="I618" s="95"/>
      <c r="J618" s="95" t="s">
        <v>162</v>
      </c>
      <c r="K618" s="95" t="b">
        <v>1</v>
      </c>
      <c r="L618" s="95">
        <v>5</v>
      </c>
      <c r="M618" s="96">
        <v>2030</v>
      </c>
      <c r="N618" s="97">
        <v>0</v>
      </c>
      <c r="O618" s="98">
        <v>46020</v>
      </c>
      <c r="P618" s="98">
        <v>46020</v>
      </c>
      <c r="Q618" s="99">
        <v>0</v>
      </c>
    </row>
    <row r="619" spans="1:17">
      <c r="A619" s="7">
        <v>2025</v>
      </c>
      <c r="B619" s="8" t="s">
        <v>434</v>
      </c>
      <c r="C619" s="94" t="s">
        <v>435</v>
      </c>
      <c r="D619" s="95">
        <v>3215062</v>
      </c>
      <c r="E619" s="95">
        <v>2</v>
      </c>
      <c r="F619" s="95"/>
      <c r="G619" s="95">
        <v>91000</v>
      </c>
      <c r="H619" s="95">
        <v>9.1</v>
      </c>
      <c r="I619" s="95"/>
      <c r="J619" s="95" t="s">
        <v>162</v>
      </c>
      <c r="K619" s="95" t="b">
        <v>1</v>
      </c>
      <c r="L619" s="95">
        <v>6</v>
      </c>
      <c r="M619" s="96">
        <v>2031</v>
      </c>
      <c r="N619" s="97">
        <v>0</v>
      </c>
      <c r="O619" s="98">
        <v>46020</v>
      </c>
      <c r="P619" s="98">
        <v>46020</v>
      </c>
      <c r="Q619" s="99">
        <v>0</v>
      </c>
    </row>
    <row r="620" spans="1:17">
      <c r="A620" s="7">
        <v>2025</v>
      </c>
      <c r="B620" s="8" t="s">
        <v>434</v>
      </c>
      <c r="C620" s="94" t="s">
        <v>435</v>
      </c>
      <c r="D620" s="95">
        <v>3215062</v>
      </c>
      <c r="E620" s="95">
        <v>2</v>
      </c>
      <c r="F620" s="95"/>
      <c r="G620" s="95">
        <v>91000</v>
      </c>
      <c r="H620" s="95">
        <v>9.1</v>
      </c>
      <c r="I620" s="95"/>
      <c r="J620" s="95" t="s">
        <v>162</v>
      </c>
      <c r="K620" s="95" t="b">
        <v>1</v>
      </c>
      <c r="L620" s="95">
        <v>4</v>
      </c>
      <c r="M620" s="96">
        <v>2029</v>
      </c>
      <c r="N620" s="97">
        <v>0</v>
      </c>
      <c r="O620" s="98">
        <v>46020</v>
      </c>
      <c r="P620" s="98">
        <v>46020</v>
      </c>
      <c r="Q620" s="99">
        <v>0</v>
      </c>
    </row>
    <row r="621" spans="1:17">
      <c r="A621" s="7">
        <v>2025</v>
      </c>
      <c r="B621" s="8" t="s">
        <v>434</v>
      </c>
      <c r="C621" s="94" t="s">
        <v>435</v>
      </c>
      <c r="D621" s="95">
        <v>3215062</v>
      </c>
      <c r="E621" s="95">
        <v>2</v>
      </c>
      <c r="F621" s="95"/>
      <c r="G621" s="95">
        <v>91000</v>
      </c>
      <c r="H621" s="95">
        <v>9.1</v>
      </c>
      <c r="I621" s="95"/>
      <c r="J621" s="95" t="s">
        <v>162</v>
      </c>
      <c r="K621" s="95" t="b">
        <v>1</v>
      </c>
      <c r="L621" s="95">
        <v>1</v>
      </c>
      <c r="M621" s="96">
        <v>2026</v>
      </c>
      <c r="N621" s="97">
        <v>626069.09</v>
      </c>
      <c r="O621" s="98">
        <v>46020</v>
      </c>
      <c r="P621" s="98">
        <v>46020</v>
      </c>
      <c r="Q621" s="99">
        <v>0</v>
      </c>
    </row>
    <row r="622" spans="1:17">
      <c r="A622" s="7">
        <v>2025</v>
      </c>
      <c r="B622" s="8" t="s">
        <v>434</v>
      </c>
      <c r="C622" s="94" t="s">
        <v>435</v>
      </c>
      <c r="D622" s="95">
        <v>3215062</v>
      </c>
      <c r="E622" s="95">
        <v>2</v>
      </c>
      <c r="F622" s="95"/>
      <c r="G622" s="95">
        <v>91000</v>
      </c>
      <c r="H622" s="95">
        <v>9.1</v>
      </c>
      <c r="I622" s="95"/>
      <c r="J622" s="95" t="s">
        <v>162</v>
      </c>
      <c r="K622" s="95" t="b">
        <v>1</v>
      </c>
      <c r="L622" s="95">
        <v>0</v>
      </c>
      <c r="M622" s="96">
        <v>2025</v>
      </c>
      <c r="N622" s="97">
        <v>1340921.3999999999</v>
      </c>
      <c r="O622" s="98">
        <v>46020</v>
      </c>
      <c r="P622" s="98">
        <v>46020</v>
      </c>
      <c r="Q622" s="99">
        <v>0</v>
      </c>
    </row>
    <row r="623" spans="1:17">
      <c r="A623" s="7">
        <v>2025</v>
      </c>
      <c r="B623" s="8" t="s">
        <v>434</v>
      </c>
      <c r="C623" s="94" t="s">
        <v>435</v>
      </c>
      <c r="D623" s="95">
        <v>3215062</v>
      </c>
      <c r="E623" s="95">
        <v>2</v>
      </c>
      <c r="F623" s="95"/>
      <c r="G623" s="95">
        <v>72000</v>
      </c>
      <c r="H623" s="95">
        <v>7.2</v>
      </c>
      <c r="I623" s="95"/>
      <c r="J623" s="95" t="s">
        <v>450</v>
      </c>
      <c r="K623" s="95" t="b">
        <v>0</v>
      </c>
      <c r="L623" s="95">
        <v>0</v>
      </c>
      <c r="M623" s="96">
        <v>2025</v>
      </c>
      <c r="N623" s="97">
        <v>8806533.0700000003</v>
      </c>
      <c r="O623" s="98">
        <v>46020</v>
      </c>
      <c r="P623" s="98">
        <v>46020</v>
      </c>
      <c r="Q623" s="99">
        <v>0</v>
      </c>
    </row>
    <row r="624" spans="1:17">
      <c r="A624" s="7">
        <v>2025</v>
      </c>
      <c r="B624" s="8" t="s">
        <v>434</v>
      </c>
      <c r="C624" s="94" t="s">
        <v>435</v>
      </c>
      <c r="D624" s="95">
        <v>3215062</v>
      </c>
      <c r="E624" s="95">
        <v>2</v>
      </c>
      <c r="F624" s="95"/>
      <c r="G624" s="95">
        <v>72000</v>
      </c>
      <c r="H624" s="95">
        <v>7.2</v>
      </c>
      <c r="I624" s="95"/>
      <c r="J624" s="95" t="s">
        <v>450</v>
      </c>
      <c r="K624" s="95" t="b">
        <v>0</v>
      </c>
      <c r="L624" s="95">
        <v>11</v>
      </c>
      <c r="M624" s="96">
        <v>2036</v>
      </c>
      <c r="N624" s="97">
        <v>1625228</v>
      </c>
      <c r="O624" s="98">
        <v>46020</v>
      </c>
      <c r="P624" s="98">
        <v>46020</v>
      </c>
      <c r="Q624" s="99">
        <v>0</v>
      </c>
    </row>
    <row r="625" spans="1:17">
      <c r="A625" s="7">
        <v>2025</v>
      </c>
      <c r="B625" s="8" t="s">
        <v>434</v>
      </c>
      <c r="C625" s="94" t="s">
        <v>435</v>
      </c>
      <c r="D625" s="95">
        <v>3215062</v>
      </c>
      <c r="E625" s="95">
        <v>2</v>
      </c>
      <c r="F625" s="95"/>
      <c r="G625" s="95">
        <v>72000</v>
      </c>
      <c r="H625" s="95">
        <v>7.2</v>
      </c>
      <c r="I625" s="95"/>
      <c r="J625" s="95" t="s">
        <v>450</v>
      </c>
      <c r="K625" s="95" t="b">
        <v>0</v>
      </c>
      <c r="L625" s="95">
        <v>5</v>
      </c>
      <c r="M625" s="96">
        <v>2030</v>
      </c>
      <c r="N625" s="97">
        <v>1252448.6000000001</v>
      </c>
      <c r="O625" s="98">
        <v>46020</v>
      </c>
      <c r="P625" s="98">
        <v>46020</v>
      </c>
      <c r="Q625" s="99">
        <v>0</v>
      </c>
    </row>
    <row r="626" spans="1:17">
      <c r="A626" s="7">
        <v>2025</v>
      </c>
      <c r="B626" s="8" t="s">
        <v>434</v>
      </c>
      <c r="C626" s="94" t="s">
        <v>435</v>
      </c>
      <c r="D626" s="95">
        <v>3215062</v>
      </c>
      <c r="E626" s="95">
        <v>2</v>
      </c>
      <c r="F626" s="95"/>
      <c r="G626" s="95">
        <v>72000</v>
      </c>
      <c r="H626" s="95">
        <v>7.2</v>
      </c>
      <c r="I626" s="95"/>
      <c r="J626" s="95" t="s">
        <v>450</v>
      </c>
      <c r="K626" s="95" t="b">
        <v>0</v>
      </c>
      <c r="L626" s="95">
        <v>8</v>
      </c>
      <c r="M626" s="96">
        <v>2033</v>
      </c>
      <c r="N626" s="97">
        <v>1248300.92</v>
      </c>
      <c r="O626" s="98">
        <v>46020</v>
      </c>
      <c r="P626" s="98">
        <v>46020</v>
      </c>
      <c r="Q626" s="99">
        <v>0</v>
      </c>
    </row>
    <row r="627" spans="1:17">
      <c r="A627" s="7">
        <v>2025</v>
      </c>
      <c r="B627" s="8" t="s">
        <v>434</v>
      </c>
      <c r="C627" s="94" t="s">
        <v>435</v>
      </c>
      <c r="D627" s="95">
        <v>3215062</v>
      </c>
      <c r="E627" s="95">
        <v>2</v>
      </c>
      <c r="F627" s="95"/>
      <c r="G627" s="95">
        <v>72000</v>
      </c>
      <c r="H627" s="95">
        <v>7.2</v>
      </c>
      <c r="I627" s="95"/>
      <c r="J627" s="95" t="s">
        <v>450</v>
      </c>
      <c r="K627" s="95" t="b">
        <v>0</v>
      </c>
      <c r="L627" s="95">
        <v>3</v>
      </c>
      <c r="M627" s="96">
        <v>2028</v>
      </c>
      <c r="N627" s="97">
        <v>1055962.6000000001</v>
      </c>
      <c r="O627" s="98">
        <v>46020</v>
      </c>
      <c r="P627" s="98">
        <v>46020</v>
      </c>
      <c r="Q627" s="99">
        <v>0</v>
      </c>
    </row>
    <row r="628" spans="1:17">
      <c r="A628" s="7">
        <v>2025</v>
      </c>
      <c r="B628" s="8" t="s">
        <v>434</v>
      </c>
      <c r="C628" s="94" t="s">
        <v>435</v>
      </c>
      <c r="D628" s="95">
        <v>3215062</v>
      </c>
      <c r="E628" s="95">
        <v>2</v>
      </c>
      <c r="F628" s="95"/>
      <c r="G628" s="95">
        <v>72000</v>
      </c>
      <c r="H628" s="95">
        <v>7.2</v>
      </c>
      <c r="I628" s="95"/>
      <c r="J628" s="95" t="s">
        <v>450</v>
      </c>
      <c r="K628" s="95" t="b">
        <v>0</v>
      </c>
      <c r="L628" s="95">
        <v>1</v>
      </c>
      <c r="M628" s="96">
        <v>2026</v>
      </c>
      <c r="N628" s="97">
        <v>5466035.5999999996</v>
      </c>
      <c r="O628" s="98">
        <v>46020</v>
      </c>
      <c r="P628" s="98">
        <v>46020</v>
      </c>
      <c r="Q628" s="99">
        <v>0</v>
      </c>
    </row>
    <row r="629" spans="1:17">
      <c r="A629" s="7">
        <v>2025</v>
      </c>
      <c r="B629" s="8" t="s">
        <v>434</v>
      </c>
      <c r="C629" s="94" t="s">
        <v>435</v>
      </c>
      <c r="D629" s="95">
        <v>3215062</v>
      </c>
      <c r="E629" s="95">
        <v>2</v>
      </c>
      <c r="F629" s="95"/>
      <c r="G629" s="95">
        <v>72000</v>
      </c>
      <c r="H629" s="95">
        <v>7.2</v>
      </c>
      <c r="I629" s="95"/>
      <c r="J629" s="95" t="s">
        <v>450</v>
      </c>
      <c r="K629" s="95" t="b">
        <v>0</v>
      </c>
      <c r="L629" s="95">
        <v>13</v>
      </c>
      <c r="M629" s="96">
        <v>2038</v>
      </c>
      <c r="N629" s="97">
        <v>1960017</v>
      </c>
      <c r="O629" s="98">
        <v>46020</v>
      </c>
      <c r="P629" s="98">
        <v>46020</v>
      </c>
      <c r="Q629" s="99">
        <v>0</v>
      </c>
    </row>
    <row r="630" spans="1:17">
      <c r="A630" s="7">
        <v>2025</v>
      </c>
      <c r="B630" s="8" t="s">
        <v>434</v>
      </c>
      <c r="C630" s="94" t="s">
        <v>435</v>
      </c>
      <c r="D630" s="95">
        <v>3215062</v>
      </c>
      <c r="E630" s="95">
        <v>2</v>
      </c>
      <c r="F630" s="95"/>
      <c r="G630" s="95">
        <v>72000</v>
      </c>
      <c r="H630" s="95">
        <v>7.2</v>
      </c>
      <c r="I630" s="95"/>
      <c r="J630" s="95" t="s">
        <v>450</v>
      </c>
      <c r="K630" s="95" t="b">
        <v>0</v>
      </c>
      <c r="L630" s="95">
        <v>7</v>
      </c>
      <c r="M630" s="96">
        <v>2032</v>
      </c>
      <c r="N630" s="97">
        <v>1341594.6000000001</v>
      </c>
      <c r="O630" s="98">
        <v>46020</v>
      </c>
      <c r="P630" s="98">
        <v>46020</v>
      </c>
      <c r="Q630" s="99">
        <v>0</v>
      </c>
    </row>
    <row r="631" spans="1:17">
      <c r="A631" s="7">
        <v>2025</v>
      </c>
      <c r="B631" s="8" t="s">
        <v>434</v>
      </c>
      <c r="C631" s="94" t="s">
        <v>435</v>
      </c>
      <c r="D631" s="95">
        <v>3215062</v>
      </c>
      <c r="E631" s="95">
        <v>2</v>
      </c>
      <c r="F631" s="95"/>
      <c r="G631" s="95">
        <v>72000</v>
      </c>
      <c r="H631" s="95">
        <v>7.2</v>
      </c>
      <c r="I631" s="95"/>
      <c r="J631" s="95" t="s">
        <v>450</v>
      </c>
      <c r="K631" s="95" t="b">
        <v>0</v>
      </c>
      <c r="L631" s="95">
        <v>4</v>
      </c>
      <c r="M631" s="96">
        <v>2029</v>
      </c>
      <c r="N631" s="97">
        <v>1238692.6000000001</v>
      </c>
      <c r="O631" s="98">
        <v>46020</v>
      </c>
      <c r="P631" s="98">
        <v>46020</v>
      </c>
      <c r="Q631" s="99">
        <v>0</v>
      </c>
    </row>
    <row r="632" spans="1:17">
      <c r="A632" s="7">
        <v>2025</v>
      </c>
      <c r="B632" s="8" t="s">
        <v>434</v>
      </c>
      <c r="C632" s="94" t="s">
        <v>435</v>
      </c>
      <c r="D632" s="95">
        <v>3215062</v>
      </c>
      <c r="E632" s="95">
        <v>2</v>
      </c>
      <c r="F632" s="95"/>
      <c r="G632" s="95">
        <v>72000</v>
      </c>
      <c r="H632" s="95">
        <v>7.2</v>
      </c>
      <c r="I632" s="95"/>
      <c r="J632" s="95" t="s">
        <v>450</v>
      </c>
      <c r="K632" s="95" t="b">
        <v>0</v>
      </c>
      <c r="L632" s="95">
        <v>2</v>
      </c>
      <c r="M632" s="96">
        <v>2027</v>
      </c>
      <c r="N632" s="97">
        <v>1048540.94</v>
      </c>
      <c r="O632" s="98">
        <v>46020</v>
      </c>
      <c r="P632" s="98">
        <v>46020</v>
      </c>
      <c r="Q632" s="99">
        <v>0</v>
      </c>
    </row>
    <row r="633" spans="1:17">
      <c r="A633" s="7">
        <v>2025</v>
      </c>
      <c r="B633" s="8" t="s">
        <v>434</v>
      </c>
      <c r="C633" s="94" t="s">
        <v>435</v>
      </c>
      <c r="D633" s="95">
        <v>3215062</v>
      </c>
      <c r="E633" s="95">
        <v>2</v>
      </c>
      <c r="F633" s="95"/>
      <c r="G633" s="95">
        <v>72000</v>
      </c>
      <c r="H633" s="95">
        <v>7.2</v>
      </c>
      <c r="I633" s="95"/>
      <c r="J633" s="95" t="s">
        <v>450</v>
      </c>
      <c r="K633" s="95" t="b">
        <v>0</v>
      </c>
      <c r="L633" s="95">
        <v>10</v>
      </c>
      <c r="M633" s="96">
        <v>2035</v>
      </c>
      <c r="N633" s="97">
        <v>1609885.6</v>
      </c>
      <c r="O633" s="98">
        <v>46020</v>
      </c>
      <c r="P633" s="98">
        <v>46020</v>
      </c>
      <c r="Q633" s="99">
        <v>0</v>
      </c>
    </row>
    <row r="634" spans="1:17">
      <c r="A634" s="7">
        <v>2025</v>
      </c>
      <c r="B634" s="8" t="s">
        <v>434</v>
      </c>
      <c r="C634" s="94" t="s">
        <v>435</v>
      </c>
      <c r="D634" s="95">
        <v>3215062</v>
      </c>
      <c r="E634" s="95">
        <v>2</v>
      </c>
      <c r="F634" s="95"/>
      <c r="G634" s="95">
        <v>72000</v>
      </c>
      <c r="H634" s="95">
        <v>7.2</v>
      </c>
      <c r="I634" s="95"/>
      <c r="J634" s="95" t="s">
        <v>450</v>
      </c>
      <c r="K634" s="95" t="b">
        <v>0</v>
      </c>
      <c r="L634" s="95">
        <v>12</v>
      </c>
      <c r="M634" s="96">
        <v>2037</v>
      </c>
      <c r="N634" s="97">
        <v>1772062</v>
      </c>
      <c r="O634" s="98">
        <v>46020</v>
      </c>
      <c r="P634" s="98">
        <v>46020</v>
      </c>
      <c r="Q634" s="99">
        <v>0</v>
      </c>
    </row>
    <row r="635" spans="1:17">
      <c r="A635" s="7">
        <v>2025</v>
      </c>
      <c r="B635" s="8" t="s">
        <v>434</v>
      </c>
      <c r="C635" s="94" t="s">
        <v>435</v>
      </c>
      <c r="D635" s="95">
        <v>3215062</v>
      </c>
      <c r="E635" s="95">
        <v>2</v>
      </c>
      <c r="F635" s="95"/>
      <c r="G635" s="95">
        <v>72000</v>
      </c>
      <c r="H635" s="95">
        <v>7.2</v>
      </c>
      <c r="I635" s="95"/>
      <c r="J635" s="95" t="s">
        <v>450</v>
      </c>
      <c r="K635" s="95" t="b">
        <v>0</v>
      </c>
      <c r="L635" s="95">
        <v>6</v>
      </c>
      <c r="M635" s="96">
        <v>2031</v>
      </c>
      <c r="N635" s="97">
        <v>1278740.6000000001</v>
      </c>
      <c r="O635" s="98">
        <v>46020</v>
      </c>
      <c r="P635" s="98">
        <v>46020</v>
      </c>
      <c r="Q635" s="99">
        <v>0</v>
      </c>
    </row>
    <row r="636" spans="1:17">
      <c r="A636" s="7">
        <v>2025</v>
      </c>
      <c r="B636" s="8" t="s">
        <v>434</v>
      </c>
      <c r="C636" s="94" t="s">
        <v>435</v>
      </c>
      <c r="D636" s="95">
        <v>3215062</v>
      </c>
      <c r="E636" s="95">
        <v>2</v>
      </c>
      <c r="F636" s="95"/>
      <c r="G636" s="95">
        <v>72000</v>
      </c>
      <c r="H636" s="95">
        <v>7.2</v>
      </c>
      <c r="I636" s="95"/>
      <c r="J636" s="95" t="s">
        <v>450</v>
      </c>
      <c r="K636" s="95" t="b">
        <v>0</v>
      </c>
      <c r="L636" s="95">
        <v>9</v>
      </c>
      <c r="M636" s="96">
        <v>2034</v>
      </c>
      <c r="N636" s="97">
        <v>1297454.03</v>
      </c>
      <c r="O636" s="98">
        <v>46020</v>
      </c>
      <c r="P636" s="98">
        <v>46020</v>
      </c>
      <c r="Q636" s="99">
        <v>0</v>
      </c>
    </row>
    <row r="637" spans="1:17">
      <c r="A637" s="7">
        <v>2025</v>
      </c>
      <c r="B637" s="8" t="s">
        <v>434</v>
      </c>
      <c r="C637" s="94" t="s">
        <v>435</v>
      </c>
      <c r="D637" s="95">
        <v>3215062</v>
      </c>
      <c r="E637" s="95">
        <v>2</v>
      </c>
      <c r="F637" s="95"/>
      <c r="G637" s="95">
        <v>92100</v>
      </c>
      <c r="H637" s="95" t="s">
        <v>213</v>
      </c>
      <c r="I637" s="95"/>
      <c r="J637" s="95" t="s">
        <v>451</v>
      </c>
      <c r="K637" s="95" t="b">
        <v>0</v>
      </c>
      <c r="L637" s="95">
        <v>6</v>
      </c>
      <c r="M637" s="96">
        <v>2031</v>
      </c>
      <c r="N637" s="97">
        <v>0</v>
      </c>
      <c r="O637" s="98">
        <v>46020</v>
      </c>
      <c r="P637" s="98">
        <v>46020</v>
      </c>
      <c r="Q637" s="99">
        <v>0</v>
      </c>
    </row>
    <row r="638" spans="1:17">
      <c r="A638" s="7">
        <v>2025</v>
      </c>
      <c r="B638" s="8" t="s">
        <v>434</v>
      </c>
      <c r="C638" s="94" t="s">
        <v>435</v>
      </c>
      <c r="D638" s="95">
        <v>3215062</v>
      </c>
      <c r="E638" s="95">
        <v>2</v>
      </c>
      <c r="F638" s="95"/>
      <c r="G638" s="95">
        <v>92100</v>
      </c>
      <c r="H638" s="95" t="s">
        <v>213</v>
      </c>
      <c r="I638" s="95"/>
      <c r="J638" s="95" t="s">
        <v>451</v>
      </c>
      <c r="K638" s="95" t="b">
        <v>0</v>
      </c>
      <c r="L638" s="95">
        <v>10</v>
      </c>
      <c r="M638" s="96">
        <v>2035</v>
      </c>
      <c r="N638" s="97">
        <v>0</v>
      </c>
      <c r="O638" s="98">
        <v>46020</v>
      </c>
      <c r="P638" s="98">
        <v>46020</v>
      </c>
      <c r="Q638" s="99">
        <v>0</v>
      </c>
    </row>
    <row r="639" spans="1:17">
      <c r="A639" s="7">
        <v>2025</v>
      </c>
      <c r="B639" s="8" t="s">
        <v>434</v>
      </c>
      <c r="C639" s="94" t="s">
        <v>435</v>
      </c>
      <c r="D639" s="95">
        <v>3215062</v>
      </c>
      <c r="E639" s="95">
        <v>2</v>
      </c>
      <c r="F639" s="95"/>
      <c r="G639" s="95">
        <v>92100</v>
      </c>
      <c r="H639" s="95" t="s">
        <v>213</v>
      </c>
      <c r="I639" s="95"/>
      <c r="J639" s="95" t="s">
        <v>451</v>
      </c>
      <c r="K639" s="95" t="b">
        <v>0</v>
      </c>
      <c r="L639" s="95">
        <v>7</v>
      </c>
      <c r="M639" s="96">
        <v>2032</v>
      </c>
      <c r="N639" s="97">
        <v>0</v>
      </c>
      <c r="O639" s="98">
        <v>46020</v>
      </c>
      <c r="P639" s="98">
        <v>46020</v>
      </c>
      <c r="Q639" s="99">
        <v>0</v>
      </c>
    </row>
    <row r="640" spans="1:17">
      <c r="A640" s="7">
        <v>2025</v>
      </c>
      <c r="B640" s="8" t="s">
        <v>434</v>
      </c>
      <c r="C640" s="94" t="s">
        <v>435</v>
      </c>
      <c r="D640" s="95">
        <v>3215062</v>
      </c>
      <c r="E640" s="95">
        <v>2</v>
      </c>
      <c r="F640" s="95"/>
      <c r="G640" s="95">
        <v>92100</v>
      </c>
      <c r="H640" s="95" t="s">
        <v>213</v>
      </c>
      <c r="I640" s="95"/>
      <c r="J640" s="95" t="s">
        <v>451</v>
      </c>
      <c r="K640" s="95" t="b">
        <v>0</v>
      </c>
      <c r="L640" s="95">
        <v>4</v>
      </c>
      <c r="M640" s="96">
        <v>2029</v>
      </c>
      <c r="N640" s="97">
        <v>0</v>
      </c>
      <c r="O640" s="98">
        <v>46020</v>
      </c>
      <c r="P640" s="98">
        <v>46020</v>
      </c>
      <c r="Q640" s="99">
        <v>0</v>
      </c>
    </row>
    <row r="641" spans="1:17">
      <c r="A641" s="7">
        <v>2025</v>
      </c>
      <c r="B641" s="8" t="s">
        <v>434</v>
      </c>
      <c r="C641" s="94" t="s">
        <v>435</v>
      </c>
      <c r="D641" s="95">
        <v>3215062</v>
      </c>
      <c r="E641" s="95">
        <v>2</v>
      </c>
      <c r="F641" s="95"/>
      <c r="G641" s="95">
        <v>92100</v>
      </c>
      <c r="H641" s="95" t="s">
        <v>213</v>
      </c>
      <c r="I641" s="95"/>
      <c r="J641" s="95" t="s">
        <v>451</v>
      </c>
      <c r="K641" s="95" t="b">
        <v>0</v>
      </c>
      <c r="L641" s="95">
        <v>2</v>
      </c>
      <c r="M641" s="96">
        <v>2027</v>
      </c>
      <c r="N641" s="97">
        <v>1165072.99</v>
      </c>
      <c r="O641" s="98">
        <v>46020</v>
      </c>
      <c r="P641" s="98">
        <v>46020</v>
      </c>
      <c r="Q641" s="99">
        <v>0</v>
      </c>
    </row>
    <row r="642" spans="1:17">
      <c r="A642" s="7">
        <v>2025</v>
      </c>
      <c r="B642" s="8" t="s">
        <v>434</v>
      </c>
      <c r="C642" s="94" t="s">
        <v>435</v>
      </c>
      <c r="D642" s="95">
        <v>3215062</v>
      </c>
      <c r="E642" s="95">
        <v>2</v>
      </c>
      <c r="F642" s="95"/>
      <c r="G642" s="95">
        <v>92100</v>
      </c>
      <c r="H642" s="95" t="s">
        <v>213</v>
      </c>
      <c r="I642" s="95"/>
      <c r="J642" s="95" t="s">
        <v>451</v>
      </c>
      <c r="K642" s="95" t="b">
        <v>0</v>
      </c>
      <c r="L642" s="95">
        <v>11</v>
      </c>
      <c r="M642" s="96">
        <v>2036</v>
      </c>
      <c r="N642" s="97">
        <v>0</v>
      </c>
      <c r="O642" s="98">
        <v>46020</v>
      </c>
      <c r="P642" s="98">
        <v>46020</v>
      </c>
      <c r="Q642" s="99">
        <v>0</v>
      </c>
    </row>
    <row r="643" spans="1:17">
      <c r="A643" s="7">
        <v>2025</v>
      </c>
      <c r="B643" s="8" t="s">
        <v>434</v>
      </c>
      <c r="C643" s="94" t="s">
        <v>435</v>
      </c>
      <c r="D643" s="95">
        <v>3215062</v>
      </c>
      <c r="E643" s="95">
        <v>2</v>
      </c>
      <c r="F643" s="95"/>
      <c r="G643" s="95">
        <v>92100</v>
      </c>
      <c r="H643" s="95" t="s">
        <v>213</v>
      </c>
      <c r="I643" s="95"/>
      <c r="J643" s="95" t="s">
        <v>451</v>
      </c>
      <c r="K643" s="95" t="b">
        <v>0</v>
      </c>
      <c r="L643" s="95">
        <v>3</v>
      </c>
      <c r="M643" s="96">
        <v>2028</v>
      </c>
      <c r="N643" s="97">
        <v>0</v>
      </c>
      <c r="O643" s="98">
        <v>46020</v>
      </c>
      <c r="P643" s="98">
        <v>46020</v>
      </c>
      <c r="Q643" s="99">
        <v>0</v>
      </c>
    </row>
    <row r="644" spans="1:17">
      <c r="A644" s="7">
        <v>2025</v>
      </c>
      <c r="B644" s="8" t="s">
        <v>434</v>
      </c>
      <c r="C644" s="94" t="s">
        <v>435</v>
      </c>
      <c r="D644" s="95">
        <v>3215062</v>
      </c>
      <c r="E644" s="95">
        <v>2</v>
      </c>
      <c r="F644" s="95"/>
      <c r="G644" s="95">
        <v>92100</v>
      </c>
      <c r="H644" s="95" t="s">
        <v>213</v>
      </c>
      <c r="I644" s="95"/>
      <c r="J644" s="95" t="s">
        <v>451</v>
      </c>
      <c r="K644" s="95" t="b">
        <v>0</v>
      </c>
      <c r="L644" s="95">
        <v>8</v>
      </c>
      <c r="M644" s="96">
        <v>2033</v>
      </c>
      <c r="N644" s="97">
        <v>0</v>
      </c>
      <c r="O644" s="98">
        <v>46020</v>
      </c>
      <c r="P644" s="98">
        <v>46020</v>
      </c>
      <c r="Q644" s="99">
        <v>0</v>
      </c>
    </row>
    <row r="645" spans="1:17">
      <c r="A645" s="7">
        <v>2025</v>
      </c>
      <c r="B645" s="8" t="s">
        <v>434</v>
      </c>
      <c r="C645" s="94" t="s">
        <v>435</v>
      </c>
      <c r="D645" s="95">
        <v>3215062</v>
      </c>
      <c r="E645" s="95">
        <v>2</v>
      </c>
      <c r="F645" s="95"/>
      <c r="G645" s="95">
        <v>92100</v>
      </c>
      <c r="H645" s="95" t="s">
        <v>213</v>
      </c>
      <c r="I645" s="95"/>
      <c r="J645" s="95" t="s">
        <v>451</v>
      </c>
      <c r="K645" s="95" t="b">
        <v>0</v>
      </c>
      <c r="L645" s="95">
        <v>0</v>
      </c>
      <c r="M645" s="96">
        <v>2025</v>
      </c>
      <c r="N645" s="97">
        <v>3878079.42</v>
      </c>
      <c r="O645" s="98">
        <v>46020</v>
      </c>
      <c r="P645" s="98">
        <v>46020</v>
      </c>
      <c r="Q645" s="99">
        <v>0</v>
      </c>
    </row>
    <row r="646" spans="1:17">
      <c r="A646" s="7">
        <v>2025</v>
      </c>
      <c r="B646" s="8" t="s">
        <v>434</v>
      </c>
      <c r="C646" s="94" t="s">
        <v>435</v>
      </c>
      <c r="D646" s="95">
        <v>3215062</v>
      </c>
      <c r="E646" s="95">
        <v>2</v>
      </c>
      <c r="F646" s="95"/>
      <c r="G646" s="95">
        <v>92100</v>
      </c>
      <c r="H646" s="95" t="s">
        <v>213</v>
      </c>
      <c r="I646" s="95"/>
      <c r="J646" s="95" t="s">
        <v>451</v>
      </c>
      <c r="K646" s="95" t="b">
        <v>0</v>
      </c>
      <c r="L646" s="95">
        <v>9</v>
      </c>
      <c r="M646" s="96">
        <v>2034</v>
      </c>
      <c r="N646" s="97">
        <v>0</v>
      </c>
      <c r="O646" s="98">
        <v>46020</v>
      </c>
      <c r="P646" s="98">
        <v>46020</v>
      </c>
      <c r="Q646" s="99">
        <v>0</v>
      </c>
    </row>
    <row r="647" spans="1:17">
      <c r="A647" s="7">
        <v>2025</v>
      </c>
      <c r="B647" s="8" t="s">
        <v>434</v>
      </c>
      <c r="C647" s="94" t="s">
        <v>435</v>
      </c>
      <c r="D647" s="95">
        <v>3215062</v>
      </c>
      <c r="E647" s="95">
        <v>2</v>
      </c>
      <c r="F647" s="95"/>
      <c r="G647" s="95">
        <v>92100</v>
      </c>
      <c r="H647" s="95" t="s">
        <v>213</v>
      </c>
      <c r="I647" s="95"/>
      <c r="J647" s="95" t="s">
        <v>451</v>
      </c>
      <c r="K647" s="95" t="b">
        <v>0</v>
      </c>
      <c r="L647" s="95">
        <v>1</v>
      </c>
      <c r="M647" s="96">
        <v>2026</v>
      </c>
      <c r="N647" s="97">
        <v>1552699.54</v>
      </c>
      <c r="O647" s="98">
        <v>46020</v>
      </c>
      <c r="P647" s="98">
        <v>46020</v>
      </c>
      <c r="Q647" s="99">
        <v>0</v>
      </c>
    </row>
    <row r="648" spans="1:17">
      <c r="A648" s="7">
        <v>2025</v>
      </c>
      <c r="B648" s="8" t="s">
        <v>434</v>
      </c>
      <c r="C648" s="94" t="s">
        <v>435</v>
      </c>
      <c r="D648" s="95">
        <v>3215062</v>
      </c>
      <c r="E648" s="95">
        <v>2</v>
      </c>
      <c r="F648" s="95"/>
      <c r="G648" s="95">
        <v>92100</v>
      </c>
      <c r="H648" s="95" t="s">
        <v>213</v>
      </c>
      <c r="I648" s="95"/>
      <c r="J648" s="95" t="s">
        <v>451</v>
      </c>
      <c r="K648" s="95" t="b">
        <v>0</v>
      </c>
      <c r="L648" s="95">
        <v>13</v>
      </c>
      <c r="M648" s="96">
        <v>2038</v>
      </c>
      <c r="N648" s="97">
        <v>0</v>
      </c>
      <c r="O648" s="98">
        <v>46020</v>
      </c>
      <c r="P648" s="98">
        <v>46020</v>
      </c>
      <c r="Q648" s="99">
        <v>0</v>
      </c>
    </row>
    <row r="649" spans="1:17">
      <c r="A649" s="7">
        <v>2025</v>
      </c>
      <c r="B649" s="8" t="s">
        <v>434</v>
      </c>
      <c r="C649" s="94" t="s">
        <v>435</v>
      </c>
      <c r="D649" s="95">
        <v>3215062</v>
      </c>
      <c r="E649" s="95">
        <v>2</v>
      </c>
      <c r="F649" s="95"/>
      <c r="G649" s="95">
        <v>92100</v>
      </c>
      <c r="H649" s="95" t="s">
        <v>213</v>
      </c>
      <c r="I649" s="95"/>
      <c r="J649" s="95" t="s">
        <v>451</v>
      </c>
      <c r="K649" s="95" t="b">
        <v>0</v>
      </c>
      <c r="L649" s="95">
        <v>5</v>
      </c>
      <c r="M649" s="96">
        <v>2030</v>
      </c>
      <c r="N649" s="97">
        <v>0</v>
      </c>
      <c r="O649" s="98">
        <v>46020</v>
      </c>
      <c r="P649" s="98">
        <v>46020</v>
      </c>
      <c r="Q649" s="99">
        <v>0</v>
      </c>
    </row>
    <row r="650" spans="1:17">
      <c r="A650" s="7">
        <v>2025</v>
      </c>
      <c r="B650" s="8" t="s">
        <v>434</v>
      </c>
      <c r="C650" s="94" t="s">
        <v>435</v>
      </c>
      <c r="D650" s="95">
        <v>3215062</v>
      </c>
      <c r="E650" s="95">
        <v>2</v>
      </c>
      <c r="F650" s="95"/>
      <c r="G650" s="95">
        <v>92100</v>
      </c>
      <c r="H650" s="95" t="s">
        <v>213</v>
      </c>
      <c r="I650" s="95"/>
      <c r="J650" s="95" t="s">
        <v>451</v>
      </c>
      <c r="K650" s="95" t="b">
        <v>0</v>
      </c>
      <c r="L650" s="95">
        <v>12</v>
      </c>
      <c r="M650" s="96">
        <v>2037</v>
      </c>
      <c r="N650" s="97">
        <v>0</v>
      </c>
      <c r="O650" s="98">
        <v>46020</v>
      </c>
      <c r="P650" s="98">
        <v>46020</v>
      </c>
      <c r="Q650" s="99">
        <v>0</v>
      </c>
    </row>
    <row r="651" spans="1:17">
      <c r="A651" s="7">
        <v>2025</v>
      </c>
      <c r="B651" s="8" t="s">
        <v>434</v>
      </c>
      <c r="C651" s="94" t="s">
        <v>435</v>
      </c>
      <c r="D651" s="95">
        <v>3215062</v>
      </c>
      <c r="E651" s="95">
        <v>2</v>
      </c>
      <c r="F651" s="95"/>
      <c r="G651" s="95">
        <v>10000</v>
      </c>
      <c r="H651" s="95">
        <v>1</v>
      </c>
      <c r="I651" s="95" t="s">
        <v>452</v>
      </c>
      <c r="J651" s="95" t="s">
        <v>21</v>
      </c>
      <c r="K651" s="95" t="b">
        <v>1</v>
      </c>
      <c r="L651" s="95">
        <v>12</v>
      </c>
      <c r="M651" s="96">
        <v>2037</v>
      </c>
      <c r="N651" s="97">
        <v>75362447</v>
      </c>
      <c r="O651" s="98">
        <v>46020</v>
      </c>
      <c r="P651" s="98">
        <v>46020</v>
      </c>
      <c r="Q651" s="99">
        <v>0</v>
      </c>
    </row>
    <row r="652" spans="1:17">
      <c r="A652" s="7">
        <v>2025</v>
      </c>
      <c r="B652" s="8" t="s">
        <v>434</v>
      </c>
      <c r="C652" s="94" t="s">
        <v>435</v>
      </c>
      <c r="D652" s="95">
        <v>3215062</v>
      </c>
      <c r="E652" s="95">
        <v>2</v>
      </c>
      <c r="F652" s="95"/>
      <c r="G652" s="95">
        <v>10000</v>
      </c>
      <c r="H652" s="95">
        <v>1</v>
      </c>
      <c r="I652" s="95" t="s">
        <v>452</v>
      </c>
      <c r="J652" s="95" t="s">
        <v>21</v>
      </c>
      <c r="K652" s="95" t="b">
        <v>1</v>
      </c>
      <c r="L652" s="95">
        <v>6</v>
      </c>
      <c r="M652" s="96">
        <v>2031</v>
      </c>
      <c r="N652" s="97">
        <v>65184721</v>
      </c>
      <c r="O652" s="98">
        <v>46020</v>
      </c>
      <c r="P652" s="98">
        <v>46020</v>
      </c>
      <c r="Q652" s="99">
        <v>0</v>
      </c>
    </row>
    <row r="653" spans="1:17">
      <c r="A653" s="7">
        <v>2025</v>
      </c>
      <c r="B653" s="8" t="s">
        <v>434</v>
      </c>
      <c r="C653" s="94" t="s">
        <v>435</v>
      </c>
      <c r="D653" s="95">
        <v>3215062</v>
      </c>
      <c r="E653" s="95">
        <v>2</v>
      </c>
      <c r="F653" s="95"/>
      <c r="G653" s="95">
        <v>10000</v>
      </c>
      <c r="H653" s="95">
        <v>1</v>
      </c>
      <c r="I653" s="95" t="s">
        <v>452</v>
      </c>
      <c r="J653" s="95" t="s">
        <v>21</v>
      </c>
      <c r="K653" s="95" t="b">
        <v>1</v>
      </c>
      <c r="L653" s="95">
        <v>2</v>
      </c>
      <c r="M653" s="96">
        <v>2027</v>
      </c>
      <c r="N653" s="97">
        <v>70126267</v>
      </c>
      <c r="O653" s="98">
        <v>46020</v>
      </c>
      <c r="P653" s="98">
        <v>46020</v>
      </c>
      <c r="Q653" s="99">
        <v>0</v>
      </c>
    </row>
    <row r="654" spans="1:17">
      <c r="A654" s="7">
        <v>2025</v>
      </c>
      <c r="B654" s="8" t="s">
        <v>434</v>
      </c>
      <c r="C654" s="94" t="s">
        <v>435</v>
      </c>
      <c r="D654" s="95">
        <v>3215062</v>
      </c>
      <c r="E654" s="95">
        <v>2</v>
      </c>
      <c r="F654" s="95"/>
      <c r="G654" s="95">
        <v>10000</v>
      </c>
      <c r="H654" s="95">
        <v>1</v>
      </c>
      <c r="I654" s="95" t="s">
        <v>452</v>
      </c>
      <c r="J654" s="95" t="s">
        <v>21</v>
      </c>
      <c r="K654" s="95" t="b">
        <v>1</v>
      </c>
      <c r="L654" s="95">
        <v>10</v>
      </c>
      <c r="M654" s="96">
        <v>2035</v>
      </c>
      <c r="N654" s="97">
        <v>71922029</v>
      </c>
      <c r="O654" s="98">
        <v>46020</v>
      </c>
      <c r="P654" s="98">
        <v>46020</v>
      </c>
      <c r="Q654" s="99">
        <v>0</v>
      </c>
    </row>
    <row r="655" spans="1:17">
      <c r="A655" s="7">
        <v>2025</v>
      </c>
      <c r="B655" s="8" t="s">
        <v>434</v>
      </c>
      <c r="C655" s="94" t="s">
        <v>435</v>
      </c>
      <c r="D655" s="95">
        <v>3215062</v>
      </c>
      <c r="E655" s="95">
        <v>2</v>
      </c>
      <c r="F655" s="95"/>
      <c r="G655" s="95">
        <v>10000</v>
      </c>
      <c r="H655" s="95">
        <v>1</v>
      </c>
      <c r="I655" s="95" t="s">
        <v>452</v>
      </c>
      <c r="J655" s="95" t="s">
        <v>21</v>
      </c>
      <c r="K655" s="95" t="b">
        <v>1</v>
      </c>
      <c r="L655" s="95">
        <v>9</v>
      </c>
      <c r="M655" s="96">
        <v>2034</v>
      </c>
      <c r="N655" s="97">
        <v>70174813</v>
      </c>
      <c r="O655" s="98">
        <v>46020</v>
      </c>
      <c r="P655" s="98">
        <v>46020</v>
      </c>
      <c r="Q655" s="99">
        <v>0</v>
      </c>
    </row>
    <row r="656" spans="1:17">
      <c r="A656" s="7">
        <v>2025</v>
      </c>
      <c r="B656" s="8" t="s">
        <v>434</v>
      </c>
      <c r="C656" s="94" t="s">
        <v>435</v>
      </c>
      <c r="D656" s="95">
        <v>3215062</v>
      </c>
      <c r="E656" s="95">
        <v>2</v>
      </c>
      <c r="F656" s="95"/>
      <c r="G656" s="95">
        <v>10000</v>
      </c>
      <c r="H656" s="95">
        <v>1</v>
      </c>
      <c r="I656" s="95" t="s">
        <v>452</v>
      </c>
      <c r="J656" s="95" t="s">
        <v>21</v>
      </c>
      <c r="K656" s="95" t="b">
        <v>1</v>
      </c>
      <c r="L656" s="95">
        <v>5</v>
      </c>
      <c r="M656" s="96">
        <v>2030</v>
      </c>
      <c r="N656" s="97">
        <v>64281830</v>
      </c>
      <c r="O656" s="98">
        <v>46020</v>
      </c>
      <c r="P656" s="98">
        <v>46020</v>
      </c>
      <c r="Q656" s="99">
        <v>0</v>
      </c>
    </row>
    <row r="657" spans="1:17">
      <c r="A657" s="7">
        <v>2025</v>
      </c>
      <c r="B657" s="8" t="s">
        <v>434</v>
      </c>
      <c r="C657" s="94" t="s">
        <v>435</v>
      </c>
      <c r="D657" s="95">
        <v>3215062</v>
      </c>
      <c r="E657" s="95">
        <v>2</v>
      </c>
      <c r="F657" s="95"/>
      <c r="G657" s="95">
        <v>10000</v>
      </c>
      <c r="H657" s="95">
        <v>1</v>
      </c>
      <c r="I657" s="95" t="s">
        <v>452</v>
      </c>
      <c r="J657" s="95" t="s">
        <v>21</v>
      </c>
      <c r="K657" s="95" t="b">
        <v>1</v>
      </c>
      <c r="L657" s="95">
        <v>1</v>
      </c>
      <c r="M657" s="96">
        <v>2026</v>
      </c>
      <c r="N657" s="97">
        <v>71984517</v>
      </c>
      <c r="O657" s="98">
        <v>46020</v>
      </c>
      <c r="P657" s="98">
        <v>46020</v>
      </c>
      <c r="Q657" s="99">
        <v>0</v>
      </c>
    </row>
    <row r="658" spans="1:17">
      <c r="A658" s="7">
        <v>2025</v>
      </c>
      <c r="B658" s="8" t="s">
        <v>434</v>
      </c>
      <c r="C658" s="94" t="s">
        <v>435</v>
      </c>
      <c r="D658" s="95">
        <v>3215062</v>
      </c>
      <c r="E658" s="95">
        <v>2</v>
      </c>
      <c r="F658" s="95"/>
      <c r="G658" s="95">
        <v>10000</v>
      </c>
      <c r="H658" s="95">
        <v>1</v>
      </c>
      <c r="I658" s="95" t="s">
        <v>452</v>
      </c>
      <c r="J658" s="95" t="s">
        <v>21</v>
      </c>
      <c r="K658" s="95" t="b">
        <v>1</v>
      </c>
      <c r="L658" s="95">
        <v>13</v>
      </c>
      <c r="M658" s="96">
        <v>2038</v>
      </c>
      <c r="N658" s="97">
        <v>77244008</v>
      </c>
      <c r="O658" s="98">
        <v>46020</v>
      </c>
      <c r="P658" s="98">
        <v>46020</v>
      </c>
      <c r="Q658" s="99">
        <v>0</v>
      </c>
    </row>
    <row r="659" spans="1:17">
      <c r="A659" s="7">
        <v>2025</v>
      </c>
      <c r="B659" s="8" t="s">
        <v>434</v>
      </c>
      <c r="C659" s="94" t="s">
        <v>435</v>
      </c>
      <c r="D659" s="95">
        <v>3215062</v>
      </c>
      <c r="E659" s="95">
        <v>2</v>
      </c>
      <c r="F659" s="95"/>
      <c r="G659" s="95">
        <v>10000</v>
      </c>
      <c r="H659" s="95">
        <v>1</v>
      </c>
      <c r="I659" s="95" t="s">
        <v>452</v>
      </c>
      <c r="J659" s="95" t="s">
        <v>21</v>
      </c>
      <c r="K659" s="95" t="b">
        <v>1</v>
      </c>
      <c r="L659" s="95">
        <v>8</v>
      </c>
      <c r="M659" s="96">
        <v>2033</v>
      </c>
      <c r="N659" s="97">
        <v>68470212</v>
      </c>
      <c r="O659" s="98">
        <v>46020</v>
      </c>
      <c r="P659" s="98">
        <v>46020</v>
      </c>
      <c r="Q659" s="99">
        <v>0</v>
      </c>
    </row>
    <row r="660" spans="1:17">
      <c r="A660" s="7">
        <v>2025</v>
      </c>
      <c r="B660" s="8" t="s">
        <v>434</v>
      </c>
      <c r="C660" s="94" t="s">
        <v>435</v>
      </c>
      <c r="D660" s="95">
        <v>3215062</v>
      </c>
      <c r="E660" s="95">
        <v>2</v>
      </c>
      <c r="F660" s="95"/>
      <c r="G660" s="95">
        <v>10000</v>
      </c>
      <c r="H660" s="95">
        <v>1</v>
      </c>
      <c r="I660" s="95" t="s">
        <v>452</v>
      </c>
      <c r="J660" s="95" t="s">
        <v>21</v>
      </c>
      <c r="K660" s="95" t="b">
        <v>1</v>
      </c>
      <c r="L660" s="95">
        <v>11</v>
      </c>
      <c r="M660" s="96">
        <v>2036</v>
      </c>
      <c r="N660" s="97">
        <v>73526777</v>
      </c>
      <c r="O660" s="98">
        <v>46020</v>
      </c>
      <c r="P660" s="98">
        <v>46020</v>
      </c>
      <c r="Q660" s="99">
        <v>0</v>
      </c>
    </row>
    <row r="661" spans="1:17">
      <c r="A661" s="7">
        <v>2025</v>
      </c>
      <c r="B661" s="8" t="s">
        <v>434</v>
      </c>
      <c r="C661" s="94" t="s">
        <v>435</v>
      </c>
      <c r="D661" s="95">
        <v>3215062</v>
      </c>
      <c r="E661" s="95">
        <v>2</v>
      </c>
      <c r="F661" s="95"/>
      <c r="G661" s="95">
        <v>10000</v>
      </c>
      <c r="H661" s="95">
        <v>1</v>
      </c>
      <c r="I661" s="95" t="s">
        <v>452</v>
      </c>
      <c r="J661" s="95" t="s">
        <v>21</v>
      </c>
      <c r="K661" s="95" t="b">
        <v>1</v>
      </c>
      <c r="L661" s="95">
        <v>3</v>
      </c>
      <c r="M661" s="96">
        <v>2028</v>
      </c>
      <c r="N661" s="97">
        <v>65851685.600000001</v>
      </c>
      <c r="O661" s="98">
        <v>46020</v>
      </c>
      <c r="P661" s="98">
        <v>46020</v>
      </c>
      <c r="Q661" s="99">
        <v>0</v>
      </c>
    </row>
    <row r="662" spans="1:17">
      <c r="A662" s="7">
        <v>2025</v>
      </c>
      <c r="B662" s="8" t="s">
        <v>434</v>
      </c>
      <c r="C662" s="94" t="s">
        <v>435</v>
      </c>
      <c r="D662" s="95">
        <v>3215062</v>
      </c>
      <c r="E662" s="95">
        <v>2</v>
      </c>
      <c r="F662" s="95"/>
      <c r="G662" s="95">
        <v>10000</v>
      </c>
      <c r="H662" s="95">
        <v>1</v>
      </c>
      <c r="I662" s="95" t="s">
        <v>452</v>
      </c>
      <c r="J662" s="95" t="s">
        <v>21</v>
      </c>
      <c r="K662" s="95" t="b">
        <v>1</v>
      </c>
      <c r="L662" s="95">
        <v>4</v>
      </c>
      <c r="M662" s="96">
        <v>2029</v>
      </c>
      <c r="N662" s="97">
        <v>62057545</v>
      </c>
      <c r="O662" s="98">
        <v>46020</v>
      </c>
      <c r="P662" s="98">
        <v>46020</v>
      </c>
      <c r="Q662" s="99">
        <v>0</v>
      </c>
    </row>
    <row r="663" spans="1:17">
      <c r="A663" s="7">
        <v>2025</v>
      </c>
      <c r="B663" s="8" t="s">
        <v>434</v>
      </c>
      <c r="C663" s="94" t="s">
        <v>435</v>
      </c>
      <c r="D663" s="95">
        <v>3215062</v>
      </c>
      <c r="E663" s="95">
        <v>2</v>
      </c>
      <c r="F663" s="95"/>
      <c r="G663" s="95">
        <v>10000</v>
      </c>
      <c r="H663" s="95">
        <v>1</v>
      </c>
      <c r="I663" s="95" t="s">
        <v>452</v>
      </c>
      <c r="J663" s="95" t="s">
        <v>21</v>
      </c>
      <c r="K663" s="95" t="b">
        <v>1</v>
      </c>
      <c r="L663" s="95">
        <v>7</v>
      </c>
      <c r="M663" s="96">
        <v>2032</v>
      </c>
      <c r="N663" s="97">
        <v>66807186</v>
      </c>
      <c r="O663" s="98">
        <v>46020</v>
      </c>
      <c r="P663" s="98">
        <v>46020</v>
      </c>
      <c r="Q663" s="99">
        <v>0</v>
      </c>
    </row>
    <row r="664" spans="1:17">
      <c r="A664" s="7">
        <v>2025</v>
      </c>
      <c r="B664" s="8" t="s">
        <v>434</v>
      </c>
      <c r="C664" s="94" t="s">
        <v>435</v>
      </c>
      <c r="D664" s="95">
        <v>3215062</v>
      </c>
      <c r="E664" s="95">
        <v>2</v>
      </c>
      <c r="F664" s="95"/>
      <c r="G664" s="95">
        <v>10000</v>
      </c>
      <c r="H664" s="95">
        <v>1</v>
      </c>
      <c r="I664" s="95" t="s">
        <v>452</v>
      </c>
      <c r="J664" s="95" t="s">
        <v>21</v>
      </c>
      <c r="K664" s="95" t="b">
        <v>1</v>
      </c>
      <c r="L664" s="95">
        <v>0</v>
      </c>
      <c r="M664" s="96">
        <v>2025</v>
      </c>
      <c r="N664" s="97">
        <v>80094509.25</v>
      </c>
      <c r="O664" s="98">
        <v>46020</v>
      </c>
      <c r="P664" s="98">
        <v>46020</v>
      </c>
      <c r="Q664" s="99">
        <v>0</v>
      </c>
    </row>
    <row r="665" spans="1:17">
      <c r="A665" s="7">
        <v>2025</v>
      </c>
      <c r="B665" s="8" t="s">
        <v>434</v>
      </c>
      <c r="C665" s="94" t="s">
        <v>435</v>
      </c>
      <c r="D665" s="95">
        <v>3215062</v>
      </c>
      <c r="E665" s="95">
        <v>2</v>
      </c>
      <c r="F665" s="95"/>
      <c r="G665" s="95">
        <v>21100</v>
      </c>
      <c r="H665" s="95" t="s">
        <v>34</v>
      </c>
      <c r="I665" s="95"/>
      <c r="J665" s="95" t="s">
        <v>122</v>
      </c>
      <c r="K665" s="95" t="b">
        <v>1</v>
      </c>
      <c r="L665" s="95">
        <v>13</v>
      </c>
      <c r="M665" s="96">
        <v>2038</v>
      </c>
      <c r="N665" s="97">
        <v>35979137</v>
      </c>
      <c r="O665" s="98">
        <v>46020</v>
      </c>
      <c r="P665" s="98">
        <v>46020</v>
      </c>
      <c r="Q665" s="99">
        <v>0</v>
      </c>
    </row>
    <row r="666" spans="1:17">
      <c r="A666" s="7">
        <v>2025</v>
      </c>
      <c r="B666" s="8" t="s">
        <v>434</v>
      </c>
      <c r="C666" s="94" t="s">
        <v>435</v>
      </c>
      <c r="D666" s="95">
        <v>3215062</v>
      </c>
      <c r="E666" s="95">
        <v>2</v>
      </c>
      <c r="F666" s="95"/>
      <c r="G666" s="95">
        <v>21100</v>
      </c>
      <c r="H666" s="95" t="s">
        <v>34</v>
      </c>
      <c r="I666" s="95"/>
      <c r="J666" s="95" t="s">
        <v>122</v>
      </c>
      <c r="K666" s="95" t="b">
        <v>1</v>
      </c>
      <c r="L666" s="95">
        <v>0</v>
      </c>
      <c r="M666" s="96">
        <v>2025</v>
      </c>
      <c r="N666" s="97">
        <v>25485429.059999999</v>
      </c>
      <c r="O666" s="98">
        <v>46020</v>
      </c>
      <c r="P666" s="98">
        <v>46020</v>
      </c>
      <c r="Q666" s="99">
        <v>0</v>
      </c>
    </row>
    <row r="667" spans="1:17">
      <c r="A667" s="7">
        <v>2025</v>
      </c>
      <c r="B667" s="8" t="s">
        <v>434</v>
      </c>
      <c r="C667" s="94" t="s">
        <v>435</v>
      </c>
      <c r="D667" s="95">
        <v>3215062</v>
      </c>
      <c r="E667" s="95">
        <v>2</v>
      </c>
      <c r="F667" s="95"/>
      <c r="G667" s="95">
        <v>21100</v>
      </c>
      <c r="H667" s="95" t="s">
        <v>34</v>
      </c>
      <c r="I667" s="95"/>
      <c r="J667" s="95" t="s">
        <v>122</v>
      </c>
      <c r="K667" s="95" t="b">
        <v>1</v>
      </c>
      <c r="L667" s="95">
        <v>10</v>
      </c>
      <c r="M667" s="96">
        <v>2035</v>
      </c>
      <c r="N667" s="97">
        <v>33730050</v>
      </c>
      <c r="O667" s="98">
        <v>46020</v>
      </c>
      <c r="P667" s="98">
        <v>46020</v>
      </c>
      <c r="Q667" s="99">
        <v>0</v>
      </c>
    </row>
    <row r="668" spans="1:17">
      <c r="A668" s="7">
        <v>2025</v>
      </c>
      <c r="B668" s="8" t="s">
        <v>434</v>
      </c>
      <c r="C668" s="94" t="s">
        <v>435</v>
      </c>
      <c r="D668" s="95">
        <v>3215062</v>
      </c>
      <c r="E668" s="95">
        <v>2</v>
      </c>
      <c r="F668" s="95"/>
      <c r="G668" s="95">
        <v>21100</v>
      </c>
      <c r="H668" s="95" t="s">
        <v>34</v>
      </c>
      <c r="I668" s="95"/>
      <c r="J668" s="95" t="s">
        <v>122</v>
      </c>
      <c r="K668" s="95" t="b">
        <v>1</v>
      </c>
      <c r="L668" s="95">
        <v>1</v>
      </c>
      <c r="M668" s="96">
        <v>2026</v>
      </c>
      <c r="N668" s="97">
        <v>26236539</v>
      </c>
      <c r="O668" s="98">
        <v>46020</v>
      </c>
      <c r="P668" s="98">
        <v>46020</v>
      </c>
      <c r="Q668" s="99">
        <v>0</v>
      </c>
    </row>
    <row r="669" spans="1:17">
      <c r="A669" s="7">
        <v>2025</v>
      </c>
      <c r="B669" s="8" t="s">
        <v>434</v>
      </c>
      <c r="C669" s="94" t="s">
        <v>435</v>
      </c>
      <c r="D669" s="95">
        <v>3215062</v>
      </c>
      <c r="E669" s="95">
        <v>2</v>
      </c>
      <c r="F669" s="95"/>
      <c r="G669" s="95">
        <v>21100</v>
      </c>
      <c r="H669" s="95" t="s">
        <v>34</v>
      </c>
      <c r="I669" s="95"/>
      <c r="J669" s="95" t="s">
        <v>122</v>
      </c>
      <c r="K669" s="95" t="b">
        <v>1</v>
      </c>
      <c r="L669" s="95">
        <v>4</v>
      </c>
      <c r="M669" s="96">
        <v>2029</v>
      </c>
      <c r="N669" s="97">
        <v>29220563</v>
      </c>
      <c r="O669" s="98">
        <v>46020</v>
      </c>
      <c r="P669" s="98">
        <v>46020</v>
      </c>
      <c r="Q669" s="99">
        <v>0</v>
      </c>
    </row>
    <row r="670" spans="1:17">
      <c r="A670" s="7">
        <v>2025</v>
      </c>
      <c r="B670" s="8" t="s">
        <v>434</v>
      </c>
      <c r="C670" s="94" t="s">
        <v>435</v>
      </c>
      <c r="D670" s="95">
        <v>3215062</v>
      </c>
      <c r="E670" s="95">
        <v>2</v>
      </c>
      <c r="F670" s="95"/>
      <c r="G670" s="95">
        <v>21100</v>
      </c>
      <c r="H670" s="95" t="s">
        <v>34</v>
      </c>
      <c r="I670" s="95"/>
      <c r="J670" s="95" t="s">
        <v>122</v>
      </c>
      <c r="K670" s="95" t="b">
        <v>1</v>
      </c>
      <c r="L670" s="95">
        <v>5</v>
      </c>
      <c r="M670" s="96">
        <v>2030</v>
      </c>
      <c r="N670" s="97">
        <v>29980298</v>
      </c>
      <c r="O670" s="98">
        <v>46020</v>
      </c>
      <c r="P670" s="98">
        <v>46020</v>
      </c>
      <c r="Q670" s="99">
        <v>0</v>
      </c>
    </row>
    <row r="671" spans="1:17">
      <c r="A671" s="7">
        <v>2025</v>
      </c>
      <c r="B671" s="8" t="s">
        <v>434</v>
      </c>
      <c r="C671" s="94" t="s">
        <v>435</v>
      </c>
      <c r="D671" s="95">
        <v>3215062</v>
      </c>
      <c r="E671" s="95">
        <v>2</v>
      </c>
      <c r="F671" s="95"/>
      <c r="G671" s="95">
        <v>21100</v>
      </c>
      <c r="H671" s="95" t="s">
        <v>34</v>
      </c>
      <c r="I671" s="95"/>
      <c r="J671" s="95" t="s">
        <v>122</v>
      </c>
      <c r="K671" s="95" t="b">
        <v>1</v>
      </c>
      <c r="L671" s="95">
        <v>12</v>
      </c>
      <c r="M671" s="96">
        <v>2037</v>
      </c>
      <c r="N671" s="97">
        <v>35239116</v>
      </c>
      <c r="O671" s="98">
        <v>46020</v>
      </c>
      <c r="P671" s="98">
        <v>46020</v>
      </c>
      <c r="Q671" s="99">
        <v>0</v>
      </c>
    </row>
    <row r="672" spans="1:17">
      <c r="A672" s="7">
        <v>2025</v>
      </c>
      <c r="B672" s="8" t="s">
        <v>434</v>
      </c>
      <c r="C672" s="94" t="s">
        <v>435</v>
      </c>
      <c r="D672" s="95">
        <v>3215062</v>
      </c>
      <c r="E672" s="95">
        <v>2</v>
      </c>
      <c r="F672" s="95"/>
      <c r="G672" s="95">
        <v>21100</v>
      </c>
      <c r="H672" s="95" t="s">
        <v>34</v>
      </c>
      <c r="I672" s="95"/>
      <c r="J672" s="95" t="s">
        <v>122</v>
      </c>
      <c r="K672" s="95" t="b">
        <v>1</v>
      </c>
      <c r="L672" s="95">
        <v>2</v>
      </c>
      <c r="M672" s="96">
        <v>2027</v>
      </c>
      <c r="N672" s="97">
        <v>27371269</v>
      </c>
      <c r="O672" s="98">
        <v>46020</v>
      </c>
      <c r="P672" s="98">
        <v>46020</v>
      </c>
      <c r="Q672" s="99">
        <v>0</v>
      </c>
    </row>
    <row r="673" spans="1:17">
      <c r="A673" s="7">
        <v>2025</v>
      </c>
      <c r="B673" s="8" t="s">
        <v>434</v>
      </c>
      <c r="C673" s="94" t="s">
        <v>435</v>
      </c>
      <c r="D673" s="95">
        <v>3215062</v>
      </c>
      <c r="E673" s="95">
        <v>2</v>
      </c>
      <c r="F673" s="95"/>
      <c r="G673" s="95">
        <v>21100</v>
      </c>
      <c r="H673" s="95" t="s">
        <v>34</v>
      </c>
      <c r="I673" s="95"/>
      <c r="J673" s="95" t="s">
        <v>122</v>
      </c>
      <c r="K673" s="95" t="b">
        <v>1</v>
      </c>
      <c r="L673" s="95">
        <v>6</v>
      </c>
      <c r="M673" s="96">
        <v>2031</v>
      </c>
      <c r="N673" s="97">
        <v>30737301</v>
      </c>
      <c r="O673" s="98">
        <v>46020</v>
      </c>
      <c r="P673" s="98">
        <v>46020</v>
      </c>
      <c r="Q673" s="99">
        <v>0</v>
      </c>
    </row>
    <row r="674" spans="1:17">
      <c r="A674" s="7">
        <v>2025</v>
      </c>
      <c r="B674" s="8" t="s">
        <v>434</v>
      </c>
      <c r="C674" s="94" t="s">
        <v>435</v>
      </c>
      <c r="D674" s="95">
        <v>3215062</v>
      </c>
      <c r="E674" s="95">
        <v>2</v>
      </c>
      <c r="F674" s="95"/>
      <c r="G674" s="95">
        <v>21100</v>
      </c>
      <c r="H674" s="95" t="s">
        <v>34</v>
      </c>
      <c r="I674" s="95"/>
      <c r="J674" s="95" t="s">
        <v>122</v>
      </c>
      <c r="K674" s="95" t="b">
        <v>1</v>
      </c>
      <c r="L674" s="95">
        <v>8</v>
      </c>
      <c r="M674" s="96">
        <v>2033</v>
      </c>
      <c r="N674" s="97">
        <v>32222527</v>
      </c>
      <c r="O674" s="98">
        <v>46020</v>
      </c>
      <c r="P674" s="98">
        <v>46020</v>
      </c>
      <c r="Q674" s="99">
        <v>0</v>
      </c>
    </row>
    <row r="675" spans="1:17">
      <c r="A675" s="7">
        <v>2025</v>
      </c>
      <c r="B675" s="8" t="s">
        <v>434</v>
      </c>
      <c r="C675" s="94" t="s">
        <v>435</v>
      </c>
      <c r="D675" s="95">
        <v>3215062</v>
      </c>
      <c r="E675" s="95">
        <v>2</v>
      </c>
      <c r="F675" s="95"/>
      <c r="G675" s="95">
        <v>21100</v>
      </c>
      <c r="H675" s="95" t="s">
        <v>34</v>
      </c>
      <c r="I675" s="95"/>
      <c r="J675" s="95" t="s">
        <v>122</v>
      </c>
      <c r="K675" s="95" t="b">
        <v>1</v>
      </c>
      <c r="L675" s="95">
        <v>7</v>
      </c>
      <c r="M675" s="96">
        <v>2032</v>
      </c>
      <c r="N675" s="97">
        <v>31474996</v>
      </c>
      <c r="O675" s="98">
        <v>46020</v>
      </c>
      <c r="P675" s="98">
        <v>46020</v>
      </c>
      <c r="Q675" s="99">
        <v>0</v>
      </c>
    </row>
    <row r="676" spans="1:17">
      <c r="A676" s="7">
        <v>2025</v>
      </c>
      <c r="B676" s="8" t="s">
        <v>434</v>
      </c>
      <c r="C676" s="94" t="s">
        <v>435</v>
      </c>
      <c r="D676" s="95">
        <v>3215062</v>
      </c>
      <c r="E676" s="95">
        <v>2</v>
      </c>
      <c r="F676" s="95"/>
      <c r="G676" s="95">
        <v>21100</v>
      </c>
      <c r="H676" s="95" t="s">
        <v>34</v>
      </c>
      <c r="I676" s="95"/>
      <c r="J676" s="95" t="s">
        <v>122</v>
      </c>
      <c r="K676" s="95" t="b">
        <v>1</v>
      </c>
      <c r="L676" s="95">
        <v>9</v>
      </c>
      <c r="M676" s="96">
        <v>2034</v>
      </c>
      <c r="N676" s="97">
        <v>32971701</v>
      </c>
      <c r="O676" s="98">
        <v>46020</v>
      </c>
      <c r="P676" s="98">
        <v>46020</v>
      </c>
      <c r="Q676" s="99">
        <v>0</v>
      </c>
    </row>
    <row r="677" spans="1:17">
      <c r="A677" s="7">
        <v>2025</v>
      </c>
      <c r="B677" s="8" t="s">
        <v>434</v>
      </c>
      <c r="C677" s="94" t="s">
        <v>435</v>
      </c>
      <c r="D677" s="95">
        <v>3215062</v>
      </c>
      <c r="E677" s="95">
        <v>2</v>
      </c>
      <c r="F677" s="95"/>
      <c r="G677" s="95">
        <v>21100</v>
      </c>
      <c r="H677" s="95" t="s">
        <v>34</v>
      </c>
      <c r="I677" s="95"/>
      <c r="J677" s="95" t="s">
        <v>122</v>
      </c>
      <c r="K677" s="95" t="b">
        <v>1</v>
      </c>
      <c r="L677" s="95">
        <v>11</v>
      </c>
      <c r="M677" s="96">
        <v>2036</v>
      </c>
      <c r="N677" s="97">
        <v>34480544</v>
      </c>
      <c r="O677" s="98">
        <v>46020</v>
      </c>
      <c r="P677" s="98">
        <v>46020</v>
      </c>
      <c r="Q677" s="99">
        <v>0</v>
      </c>
    </row>
    <row r="678" spans="1:17">
      <c r="A678" s="7">
        <v>2025</v>
      </c>
      <c r="B678" s="8" t="s">
        <v>434</v>
      </c>
      <c r="C678" s="94" t="s">
        <v>435</v>
      </c>
      <c r="D678" s="95">
        <v>3215062</v>
      </c>
      <c r="E678" s="95">
        <v>2</v>
      </c>
      <c r="F678" s="95"/>
      <c r="G678" s="95">
        <v>21100</v>
      </c>
      <c r="H678" s="95" t="s">
        <v>34</v>
      </c>
      <c r="I678" s="95"/>
      <c r="J678" s="95" t="s">
        <v>122</v>
      </c>
      <c r="K678" s="95" t="b">
        <v>1</v>
      </c>
      <c r="L678" s="95">
        <v>3</v>
      </c>
      <c r="M678" s="96">
        <v>2028</v>
      </c>
      <c r="N678" s="97">
        <v>28459277</v>
      </c>
      <c r="O678" s="98">
        <v>46020</v>
      </c>
      <c r="P678" s="98">
        <v>46020</v>
      </c>
      <c r="Q678" s="99">
        <v>0</v>
      </c>
    </row>
    <row r="679" spans="1:17">
      <c r="A679" s="7">
        <v>2025</v>
      </c>
      <c r="B679" s="8" t="s">
        <v>434</v>
      </c>
      <c r="C679" s="94" t="s">
        <v>435</v>
      </c>
      <c r="D679" s="95">
        <v>3215062</v>
      </c>
      <c r="E679" s="95">
        <v>2</v>
      </c>
      <c r="F679" s="95"/>
      <c r="G679" s="95">
        <v>21200</v>
      </c>
      <c r="H679" s="95" t="s">
        <v>35</v>
      </c>
      <c r="I679" s="95"/>
      <c r="J679" s="95" t="s">
        <v>123</v>
      </c>
      <c r="K679" s="95" t="b">
        <v>1</v>
      </c>
      <c r="L679" s="95">
        <v>9</v>
      </c>
      <c r="M679" s="96">
        <v>2034</v>
      </c>
      <c r="N679" s="97">
        <v>166469.13</v>
      </c>
      <c r="O679" s="98">
        <v>46020</v>
      </c>
      <c r="P679" s="98">
        <v>46020</v>
      </c>
      <c r="Q679" s="99">
        <v>0</v>
      </c>
    </row>
    <row r="680" spans="1:17">
      <c r="A680" s="7">
        <v>2025</v>
      </c>
      <c r="B680" s="8" t="s">
        <v>434</v>
      </c>
      <c r="C680" s="94" t="s">
        <v>435</v>
      </c>
      <c r="D680" s="95">
        <v>3215062</v>
      </c>
      <c r="E680" s="95">
        <v>2</v>
      </c>
      <c r="F680" s="95"/>
      <c r="G680" s="95">
        <v>21200</v>
      </c>
      <c r="H680" s="95" t="s">
        <v>35</v>
      </c>
      <c r="I680" s="95"/>
      <c r="J680" s="95" t="s">
        <v>123</v>
      </c>
      <c r="K680" s="95" t="b">
        <v>1</v>
      </c>
      <c r="L680" s="95">
        <v>10</v>
      </c>
      <c r="M680" s="96">
        <v>2035</v>
      </c>
      <c r="N680" s="97">
        <v>0</v>
      </c>
      <c r="O680" s="98">
        <v>46020</v>
      </c>
      <c r="P680" s="98">
        <v>46020</v>
      </c>
      <c r="Q680" s="99">
        <v>0</v>
      </c>
    </row>
    <row r="681" spans="1:17">
      <c r="A681" s="7">
        <v>2025</v>
      </c>
      <c r="B681" s="8" t="s">
        <v>434</v>
      </c>
      <c r="C681" s="94" t="s">
        <v>435</v>
      </c>
      <c r="D681" s="95">
        <v>3215062</v>
      </c>
      <c r="E681" s="95">
        <v>2</v>
      </c>
      <c r="F681" s="95"/>
      <c r="G681" s="95">
        <v>21200</v>
      </c>
      <c r="H681" s="95" t="s">
        <v>35</v>
      </c>
      <c r="I681" s="95"/>
      <c r="J681" s="95" t="s">
        <v>123</v>
      </c>
      <c r="K681" s="95" t="b">
        <v>1</v>
      </c>
      <c r="L681" s="95">
        <v>4</v>
      </c>
      <c r="M681" s="96">
        <v>2029</v>
      </c>
      <c r="N681" s="97">
        <v>0</v>
      </c>
      <c r="O681" s="98">
        <v>46020</v>
      </c>
      <c r="P681" s="98">
        <v>46020</v>
      </c>
      <c r="Q681" s="99">
        <v>0</v>
      </c>
    </row>
    <row r="682" spans="1:17">
      <c r="A682" s="7">
        <v>2025</v>
      </c>
      <c r="B682" s="8" t="s">
        <v>434</v>
      </c>
      <c r="C682" s="94" t="s">
        <v>435</v>
      </c>
      <c r="D682" s="95">
        <v>3215062</v>
      </c>
      <c r="E682" s="95">
        <v>2</v>
      </c>
      <c r="F682" s="95"/>
      <c r="G682" s="95">
        <v>21200</v>
      </c>
      <c r="H682" s="95" t="s">
        <v>35</v>
      </c>
      <c r="I682" s="95"/>
      <c r="J682" s="95" t="s">
        <v>123</v>
      </c>
      <c r="K682" s="95" t="b">
        <v>1</v>
      </c>
      <c r="L682" s="95">
        <v>12</v>
      </c>
      <c r="M682" s="96">
        <v>2037</v>
      </c>
      <c r="N682" s="97">
        <v>0</v>
      </c>
      <c r="O682" s="98">
        <v>46020</v>
      </c>
      <c r="P682" s="98">
        <v>46020</v>
      </c>
      <c r="Q682" s="99">
        <v>0</v>
      </c>
    </row>
    <row r="683" spans="1:17">
      <c r="A683" s="7">
        <v>2025</v>
      </c>
      <c r="B683" s="8" t="s">
        <v>434</v>
      </c>
      <c r="C683" s="94" t="s">
        <v>435</v>
      </c>
      <c r="D683" s="95">
        <v>3215062</v>
      </c>
      <c r="E683" s="95">
        <v>2</v>
      </c>
      <c r="F683" s="95"/>
      <c r="G683" s="95">
        <v>21200</v>
      </c>
      <c r="H683" s="95" t="s">
        <v>35</v>
      </c>
      <c r="I683" s="95"/>
      <c r="J683" s="95" t="s">
        <v>123</v>
      </c>
      <c r="K683" s="95" t="b">
        <v>1</v>
      </c>
      <c r="L683" s="95">
        <v>5</v>
      </c>
      <c r="M683" s="96">
        <v>2030</v>
      </c>
      <c r="N683" s="97">
        <v>0</v>
      </c>
      <c r="O683" s="98">
        <v>46020</v>
      </c>
      <c r="P683" s="98">
        <v>46020</v>
      </c>
      <c r="Q683" s="99">
        <v>0</v>
      </c>
    </row>
    <row r="684" spans="1:17">
      <c r="A684" s="7">
        <v>2025</v>
      </c>
      <c r="B684" s="8" t="s">
        <v>434</v>
      </c>
      <c r="C684" s="94" t="s">
        <v>435</v>
      </c>
      <c r="D684" s="95">
        <v>3215062</v>
      </c>
      <c r="E684" s="95">
        <v>2</v>
      </c>
      <c r="F684" s="95"/>
      <c r="G684" s="95">
        <v>21200</v>
      </c>
      <c r="H684" s="95" t="s">
        <v>35</v>
      </c>
      <c r="I684" s="95"/>
      <c r="J684" s="95" t="s">
        <v>123</v>
      </c>
      <c r="K684" s="95" t="b">
        <v>1</v>
      </c>
      <c r="L684" s="95">
        <v>13</v>
      </c>
      <c r="M684" s="96">
        <v>2038</v>
      </c>
      <c r="N684" s="97">
        <v>0</v>
      </c>
      <c r="O684" s="98">
        <v>46020</v>
      </c>
      <c r="P684" s="98">
        <v>46020</v>
      </c>
      <c r="Q684" s="99">
        <v>0</v>
      </c>
    </row>
    <row r="685" spans="1:17">
      <c r="A685" s="7">
        <v>2025</v>
      </c>
      <c r="B685" s="8" t="s">
        <v>434</v>
      </c>
      <c r="C685" s="94" t="s">
        <v>435</v>
      </c>
      <c r="D685" s="95">
        <v>3215062</v>
      </c>
      <c r="E685" s="95">
        <v>2</v>
      </c>
      <c r="F685" s="95"/>
      <c r="G685" s="95">
        <v>21200</v>
      </c>
      <c r="H685" s="95" t="s">
        <v>35</v>
      </c>
      <c r="I685" s="95"/>
      <c r="J685" s="95" t="s">
        <v>123</v>
      </c>
      <c r="K685" s="95" t="b">
        <v>1</v>
      </c>
      <c r="L685" s="95">
        <v>2</v>
      </c>
      <c r="M685" s="96">
        <v>2027</v>
      </c>
      <c r="N685" s="97">
        <v>0</v>
      </c>
      <c r="O685" s="98">
        <v>46020</v>
      </c>
      <c r="P685" s="98">
        <v>46020</v>
      </c>
      <c r="Q685" s="99">
        <v>0</v>
      </c>
    </row>
    <row r="686" spans="1:17">
      <c r="A686" s="7">
        <v>2025</v>
      </c>
      <c r="B686" s="8" t="s">
        <v>434</v>
      </c>
      <c r="C686" s="94" t="s">
        <v>435</v>
      </c>
      <c r="D686" s="95">
        <v>3215062</v>
      </c>
      <c r="E686" s="95">
        <v>2</v>
      </c>
      <c r="F686" s="95"/>
      <c r="G686" s="95">
        <v>21200</v>
      </c>
      <c r="H686" s="95" t="s">
        <v>35</v>
      </c>
      <c r="I686" s="95"/>
      <c r="J686" s="95" t="s">
        <v>123</v>
      </c>
      <c r="K686" s="95" t="b">
        <v>1</v>
      </c>
      <c r="L686" s="95">
        <v>1</v>
      </c>
      <c r="M686" s="96">
        <v>2026</v>
      </c>
      <c r="N686" s="97">
        <v>0</v>
      </c>
      <c r="O686" s="98">
        <v>46020</v>
      </c>
      <c r="P686" s="98">
        <v>46020</v>
      </c>
      <c r="Q686" s="99">
        <v>0</v>
      </c>
    </row>
    <row r="687" spans="1:17">
      <c r="A687" s="7">
        <v>2025</v>
      </c>
      <c r="B687" s="8" t="s">
        <v>434</v>
      </c>
      <c r="C687" s="94" t="s">
        <v>435</v>
      </c>
      <c r="D687" s="95">
        <v>3215062</v>
      </c>
      <c r="E687" s="95">
        <v>2</v>
      </c>
      <c r="F687" s="95"/>
      <c r="G687" s="95">
        <v>21200</v>
      </c>
      <c r="H687" s="95" t="s">
        <v>35</v>
      </c>
      <c r="I687" s="95"/>
      <c r="J687" s="95" t="s">
        <v>123</v>
      </c>
      <c r="K687" s="95" t="b">
        <v>1</v>
      </c>
      <c r="L687" s="95">
        <v>3</v>
      </c>
      <c r="M687" s="96">
        <v>2028</v>
      </c>
      <c r="N687" s="97">
        <v>0</v>
      </c>
      <c r="O687" s="98">
        <v>46020</v>
      </c>
      <c r="P687" s="98">
        <v>46020</v>
      </c>
      <c r="Q687" s="99">
        <v>0</v>
      </c>
    </row>
    <row r="688" spans="1:17">
      <c r="A688" s="7">
        <v>2025</v>
      </c>
      <c r="B688" s="8" t="s">
        <v>434</v>
      </c>
      <c r="C688" s="94" t="s">
        <v>435</v>
      </c>
      <c r="D688" s="95">
        <v>3215062</v>
      </c>
      <c r="E688" s="95">
        <v>2</v>
      </c>
      <c r="F688" s="95"/>
      <c r="G688" s="95">
        <v>21200</v>
      </c>
      <c r="H688" s="95" t="s">
        <v>35</v>
      </c>
      <c r="I688" s="95"/>
      <c r="J688" s="95" t="s">
        <v>123</v>
      </c>
      <c r="K688" s="95" t="b">
        <v>1</v>
      </c>
      <c r="L688" s="95">
        <v>0</v>
      </c>
      <c r="M688" s="96">
        <v>2025</v>
      </c>
      <c r="N688" s="97">
        <v>0</v>
      </c>
      <c r="O688" s="98">
        <v>46020</v>
      </c>
      <c r="P688" s="98">
        <v>46020</v>
      </c>
      <c r="Q688" s="99">
        <v>0</v>
      </c>
    </row>
    <row r="689" spans="1:17">
      <c r="A689" s="7">
        <v>2025</v>
      </c>
      <c r="B689" s="8" t="s">
        <v>434</v>
      </c>
      <c r="C689" s="94" t="s">
        <v>435</v>
      </c>
      <c r="D689" s="95">
        <v>3215062</v>
      </c>
      <c r="E689" s="95">
        <v>2</v>
      </c>
      <c r="F689" s="95"/>
      <c r="G689" s="95">
        <v>21200</v>
      </c>
      <c r="H689" s="95" t="s">
        <v>35</v>
      </c>
      <c r="I689" s="95"/>
      <c r="J689" s="95" t="s">
        <v>123</v>
      </c>
      <c r="K689" s="95" t="b">
        <v>1</v>
      </c>
      <c r="L689" s="95">
        <v>8</v>
      </c>
      <c r="M689" s="96">
        <v>2033</v>
      </c>
      <c r="N689" s="97">
        <v>0</v>
      </c>
      <c r="O689" s="98">
        <v>46020</v>
      </c>
      <c r="P689" s="98">
        <v>46020</v>
      </c>
      <c r="Q689" s="99">
        <v>0</v>
      </c>
    </row>
    <row r="690" spans="1:17">
      <c r="A690" s="7">
        <v>2025</v>
      </c>
      <c r="B690" s="8" t="s">
        <v>434</v>
      </c>
      <c r="C690" s="94" t="s">
        <v>435</v>
      </c>
      <c r="D690" s="95">
        <v>3215062</v>
      </c>
      <c r="E690" s="95">
        <v>2</v>
      </c>
      <c r="F690" s="95"/>
      <c r="G690" s="95">
        <v>21200</v>
      </c>
      <c r="H690" s="95" t="s">
        <v>35</v>
      </c>
      <c r="I690" s="95"/>
      <c r="J690" s="95" t="s">
        <v>123</v>
      </c>
      <c r="K690" s="95" t="b">
        <v>1</v>
      </c>
      <c r="L690" s="95">
        <v>6</v>
      </c>
      <c r="M690" s="96">
        <v>2031</v>
      </c>
      <c r="N690" s="97">
        <v>0</v>
      </c>
      <c r="O690" s="98">
        <v>46020</v>
      </c>
      <c r="P690" s="98">
        <v>46020</v>
      </c>
      <c r="Q690" s="99">
        <v>0</v>
      </c>
    </row>
    <row r="691" spans="1:17">
      <c r="A691" s="7">
        <v>2025</v>
      </c>
      <c r="B691" s="8" t="s">
        <v>434</v>
      </c>
      <c r="C691" s="94" t="s">
        <v>435</v>
      </c>
      <c r="D691" s="95">
        <v>3215062</v>
      </c>
      <c r="E691" s="95">
        <v>2</v>
      </c>
      <c r="F691" s="95"/>
      <c r="G691" s="95">
        <v>21200</v>
      </c>
      <c r="H691" s="95" t="s">
        <v>35</v>
      </c>
      <c r="I691" s="95"/>
      <c r="J691" s="95" t="s">
        <v>123</v>
      </c>
      <c r="K691" s="95" t="b">
        <v>1</v>
      </c>
      <c r="L691" s="95">
        <v>11</v>
      </c>
      <c r="M691" s="96">
        <v>2036</v>
      </c>
      <c r="N691" s="97">
        <v>0</v>
      </c>
      <c r="O691" s="98">
        <v>46020</v>
      </c>
      <c r="P691" s="98">
        <v>46020</v>
      </c>
      <c r="Q691" s="99">
        <v>0</v>
      </c>
    </row>
    <row r="692" spans="1:17">
      <c r="A692" s="7">
        <v>2025</v>
      </c>
      <c r="B692" s="8" t="s">
        <v>434</v>
      </c>
      <c r="C692" s="94" t="s">
        <v>435</v>
      </c>
      <c r="D692" s="95">
        <v>3215062</v>
      </c>
      <c r="E692" s="95">
        <v>2</v>
      </c>
      <c r="F692" s="95"/>
      <c r="G692" s="95">
        <v>21200</v>
      </c>
      <c r="H692" s="95" t="s">
        <v>35</v>
      </c>
      <c r="I692" s="95"/>
      <c r="J692" s="95" t="s">
        <v>123</v>
      </c>
      <c r="K692" s="95" t="b">
        <v>1</v>
      </c>
      <c r="L692" s="95">
        <v>7</v>
      </c>
      <c r="M692" s="96">
        <v>2032</v>
      </c>
      <c r="N692" s="97">
        <v>0</v>
      </c>
      <c r="O692" s="98">
        <v>46020</v>
      </c>
      <c r="P692" s="98">
        <v>46020</v>
      </c>
      <c r="Q692" s="99">
        <v>0</v>
      </c>
    </row>
    <row r="693" spans="1:17">
      <c r="A693" s="7">
        <v>2025</v>
      </c>
      <c r="B693" s="8" t="s">
        <v>434</v>
      </c>
      <c r="C693" s="94" t="s">
        <v>435</v>
      </c>
      <c r="D693" s="95">
        <v>3215062</v>
      </c>
      <c r="E693" s="95">
        <v>2</v>
      </c>
      <c r="F693" s="95"/>
      <c r="G693" s="95">
        <v>12200</v>
      </c>
      <c r="H693" s="95" t="s">
        <v>33</v>
      </c>
      <c r="I693" s="95"/>
      <c r="J693" s="95" t="s">
        <v>120</v>
      </c>
      <c r="K693" s="95" t="b">
        <v>1</v>
      </c>
      <c r="L693" s="95">
        <v>12</v>
      </c>
      <c r="M693" s="96">
        <v>2037</v>
      </c>
      <c r="N693" s="97">
        <v>0</v>
      </c>
      <c r="O693" s="98">
        <v>46020</v>
      </c>
      <c r="P693" s="98">
        <v>46020</v>
      </c>
      <c r="Q693" s="99">
        <v>0</v>
      </c>
    </row>
    <row r="694" spans="1:17">
      <c r="A694" s="7">
        <v>2025</v>
      </c>
      <c r="B694" s="8" t="s">
        <v>434</v>
      </c>
      <c r="C694" s="94" t="s">
        <v>435</v>
      </c>
      <c r="D694" s="95">
        <v>3215062</v>
      </c>
      <c r="E694" s="95">
        <v>2</v>
      </c>
      <c r="F694" s="95"/>
      <c r="G694" s="95">
        <v>12200</v>
      </c>
      <c r="H694" s="95" t="s">
        <v>33</v>
      </c>
      <c r="I694" s="95"/>
      <c r="J694" s="95" t="s">
        <v>120</v>
      </c>
      <c r="K694" s="95" t="b">
        <v>1</v>
      </c>
      <c r="L694" s="95">
        <v>8</v>
      </c>
      <c r="M694" s="96">
        <v>2033</v>
      </c>
      <c r="N694" s="97">
        <v>0</v>
      </c>
      <c r="O694" s="98">
        <v>46020</v>
      </c>
      <c r="P694" s="98">
        <v>46020</v>
      </c>
      <c r="Q694" s="99">
        <v>0</v>
      </c>
    </row>
    <row r="695" spans="1:17">
      <c r="A695" s="7">
        <v>2025</v>
      </c>
      <c r="B695" s="8" t="s">
        <v>434</v>
      </c>
      <c r="C695" s="94" t="s">
        <v>435</v>
      </c>
      <c r="D695" s="95">
        <v>3215062</v>
      </c>
      <c r="E695" s="95">
        <v>2</v>
      </c>
      <c r="F695" s="95"/>
      <c r="G695" s="95">
        <v>12200</v>
      </c>
      <c r="H695" s="95" t="s">
        <v>33</v>
      </c>
      <c r="I695" s="95"/>
      <c r="J695" s="95" t="s">
        <v>120</v>
      </c>
      <c r="K695" s="95" t="b">
        <v>1</v>
      </c>
      <c r="L695" s="95">
        <v>0</v>
      </c>
      <c r="M695" s="96">
        <v>2025</v>
      </c>
      <c r="N695" s="97">
        <v>17774353.27</v>
      </c>
      <c r="O695" s="98">
        <v>46020</v>
      </c>
      <c r="P695" s="98">
        <v>46020</v>
      </c>
      <c r="Q695" s="99">
        <v>0</v>
      </c>
    </row>
    <row r="696" spans="1:17">
      <c r="A696" s="7">
        <v>2025</v>
      </c>
      <c r="B696" s="8" t="s">
        <v>434</v>
      </c>
      <c r="C696" s="94" t="s">
        <v>435</v>
      </c>
      <c r="D696" s="95">
        <v>3215062</v>
      </c>
      <c r="E696" s="95">
        <v>2</v>
      </c>
      <c r="F696" s="95"/>
      <c r="G696" s="95">
        <v>12200</v>
      </c>
      <c r="H696" s="95" t="s">
        <v>33</v>
      </c>
      <c r="I696" s="95"/>
      <c r="J696" s="95" t="s">
        <v>120</v>
      </c>
      <c r="K696" s="95" t="b">
        <v>1</v>
      </c>
      <c r="L696" s="95">
        <v>10</v>
      </c>
      <c r="M696" s="96">
        <v>2035</v>
      </c>
      <c r="N696" s="97">
        <v>0</v>
      </c>
      <c r="O696" s="98">
        <v>46020</v>
      </c>
      <c r="P696" s="98">
        <v>46020</v>
      </c>
      <c r="Q696" s="99">
        <v>0</v>
      </c>
    </row>
    <row r="697" spans="1:17">
      <c r="A697" s="7">
        <v>2025</v>
      </c>
      <c r="B697" s="8" t="s">
        <v>434</v>
      </c>
      <c r="C697" s="94" t="s">
        <v>435</v>
      </c>
      <c r="D697" s="95">
        <v>3215062</v>
      </c>
      <c r="E697" s="95">
        <v>2</v>
      </c>
      <c r="F697" s="95"/>
      <c r="G697" s="95">
        <v>12200</v>
      </c>
      <c r="H697" s="95" t="s">
        <v>33</v>
      </c>
      <c r="I697" s="95"/>
      <c r="J697" s="95" t="s">
        <v>120</v>
      </c>
      <c r="K697" s="95" t="b">
        <v>1</v>
      </c>
      <c r="L697" s="95">
        <v>5</v>
      </c>
      <c r="M697" s="96">
        <v>2030</v>
      </c>
      <c r="N697" s="97">
        <v>680000</v>
      </c>
      <c r="O697" s="98">
        <v>46020</v>
      </c>
      <c r="P697" s="98">
        <v>46020</v>
      </c>
      <c r="Q697" s="99">
        <v>0</v>
      </c>
    </row>
    <row r="698" spans="1:17">
      <c r="A698" s="7">
        <v>2025</v>
      </c>
      <c r="B698" s="8" t="s">
        <v>434</v>
      </c>
      <c r="C698" s="94" t="s">
        <v>435</v>
      </c>
      <c r="D698" s="95">
        <v>3215062</v>
      </c>
      <c r="E698" s="95">
        <v>2</v>
      </c>
      <c r="F698" s="95"/>
      <c r="G698" s="95">
        <v>12200</v>
      </c>
      <c r="H698" s="95" t="s">
        <v>33</v>
      </c>
      <c r="I698" s="95"/>
      <c r="J698" s="95" t="s">
        <v>120</v>
      </c>
      <c r="K698" s="95" t="b">
        <v>1</v>
      </c>
      <c r="L698" s="95">
        <v>1</v>
      </c>
      <c r="M698" s="96">
        <v>2026</v>
      </c>
      <c r="N698" s="97">
        <v>10937500</v>
      </c>
      <c r="O698" s="98">
        <v>46020</v>
      </c>
      <c r="P698" s="98">
        <v>46020</v>
      </c>
      <c r="Q698" s="99">
        <v>0</v>
      </c>
    </row>
    <row r="699" spans="1:17">
      <c r="A699" s="7">
        <v>2025</v>
      </c>
      <c r="B699" s="8" t="s">
        <v>434</v>
      </c>
      <c r="C699" s="94" t="s">
        <v>435</v>
      </c>
      <c r="D699" s="95">
        <v>3215062</v>
      </c>
      <c r="E699" s="95">
        <v>2</v>
      </c>
      <c r="F699" s="95"/>
      <c r="G699" s="95">
        <v>12200</v>
      </c>
      <c r="H699" s="95" t="s">
        <v>33</v>
      </c>
      <c r="I699" s="95"/>
      <c r="J699" s="95" t="s">
        <v>120</v>
      </c>
      <c r="K699" s="95" t="b">
        <v>1</v>
      </c>
      <c r="L699" s="95">
        <v>6</v>
      </c>
      <c r="M699" s="96">
        <v>2031</v>
      </c>
      <c r="N699" s="97">
        <v>0</v>
      </c>
      <c r="O699" s="98">
        <v>46020</v>
      </c>
      <c r="P699" s="98">
        <v>46020</v>
      </c>
      <c r="Q699" s="99">
        <v>0</v>
      </c>
    </row>
    <row r="700" spans="1:17">
      <c r="A700" s="7">
        <v>2025</v>
      </c>
      <c r="B700" s="8" t="s">
        <v>434</v>
      </c>
      <c r="C700" s="94" t="s">
        <v>435</v>
      </c>
      <c r="D700" s="95">
        <v>3215062</v>
      </c>
      <c r="E700" s="95">
        <v>2</v>
      </c>
      <c r="F700" s="95"/>
      <c r="G700" s="95">
        <v>12200</v>
      </c>
      <c r="H700" s="95" t="s">
        <v>33</v>
      </c>
      <c r="I700" s="95"/>
      <c r="J700" s="95" t="s">
        <v>120</v>
      </c>
      <c r="K700" s="95" t="b">
        <v>1</v>
      </c>
      <c r="L700" s="95">
        <v>13</v>
      </c>
      <c r="M700" s="96">
        <v>2038</v>
      </c>
      <c r="N700" s="97">
        <v>0</v>
      </c>
      <c r="O700" s="98">
        <v>46020</v>
      </c>
      <c r="P700" s="98">
        <v>46020</v>
      </c>
      <c r="Q700" s="99">
        <v>0</v>
      </c>
    </row>
    <row r="701" spans="1:17">
      <c r="A701" s="7">
        <v>2025</v>
      </c>
      <c r="B701" s="8" t="s">
        <v>434</v>
      </c>
      <c r="C701" s="94" t="s">
        <v>435</v>
      </c>
      <c r="D701" s="95">
        <v>3215062</v>
      </c>
      <c r="E701" s="95">
        <v>2</v>
      </c>
      <c r="F701" s="95"/>
      <c r="G701" s="95">
        <v>12200</v>
      </c>
      <c r="H701" s="95" t="s">
        <v>33</v>
      </c>
      <c r="I701" s="95"/>
      <c r="J701" s="95" t="s">
        <v>120</v>
      </c>
      <c r="K701" s="95" t="b">
        <v>1</v>
      </c>
      <c r="L701" s="95">
        <v>9</v>
      </c>
      <c r="M701" s="96">
        <v>2034</v>
      </c>
      <c r="N701" s="97">
        <v>0</v>
      </c>
      <c r="O701" s="98">
        <v>46020</v>
      </c>
      <c r="P701" s="98">
        <v>46020</v>
      </c>
      <c r="Q701" s="99">
        <v>0</v>
      </c>
    </row>
    <row r="702" spans="1:17">
      <c r="A702" s="7">
        <v>2025</v>
      </c>
      <c r="B702" s="8" t="s">
        <v>434</v>
      </c>
      <c r="C702" s="94" t="s">
        <v>435</v>
      </c>
      <c r="D702" s="95">
        <v>3215062</v>
      </c>
      <c r="E702" s="95">
        <v>2</v>
      </c>
      <c r="F702" s="95"/>
      <c r="G702" s="95">
        <v>12200</v>
      </c>
      <c r="H702" s="95" t="s">
        <v>33</v>
      </c>
      <c r="I702" s="95"/>
      <c r="J702" s="95" t="s">
        <v>120</v>
      </c>
      <c r="K702" s="95" t="b">
        <v>1</v>
      </c>
      <c r="L702" s="95">
        <v>7</v>
      </c>
      <c r="M702" s="96">
        <v>2032</v>
      </c>
      <c r="N702" s="97">
        <v>0</v>
      </c>
      <c r="O702" s="98">
        <v>46020</v>
      </c>
      <c r="P702" s="98">
        <v>46020</v>
      </c>
      <c r="Q702" s="99">
        <v>0</v>
      </c>
    </row>
    <row r="703" spans="1:17">
      <c r="A703" s="7">
        <v>2025</v>
      </c>
      <c r="B703" s="8" t="s">
        <v>434</v>
      </c>
      <c r="C703" s="94" t="s">
        <v>435</v>
      </c>
      <c r="D703" s="95">
        <v>3215062</v>
      </c>
      <c r="E703" s="95">
        <v>2</v>
      </c>
      <c r="F703" s="95"/>
      <c r="G703" s="95">
        <v>12200</v>
      </c>
      <c r="H703" s="95" t="s">
        <v>33</v>
      </c>
      <c r="I703" s="95"/>
      <c r="J703" s="95" t="s">
        <v>120</v>
      </c>
      <c r="K703" s="95" t="b">
        <v>1</v>
      </c>
      <c r="L703" s="95">
        <v>4</v>
      </c>
      <c r="M703" s="96">
        <v>2029</v>
      </c>
      <c r="N703" s="97">
        <v>0</v>
      </c>
      <c r="O703" s="98">
        <v>46020</v>
      </c>
      <c r="P703" s="98">
        <v>46020</v>
      </c>
      <c r="Q703" s="99">
        <v>0</v>
      </c>
    </row>
    <row r="704" spans="1:17">
      <c r="A704" s="7">
        <v>2025</v>
      </c>
      <c r="B704" s="8" t="s">
        <v>434</v>
      </c>
      <c r="C704" s="94" t="s">
        <v>435</v>
      </c>
      <c r="D704" s="95">
        <v>3215062</v>
      </c>
      <c r="E704" s="95">
        <v>2</v>
      </c>
      <c r="F704" s="95"/>
      <c r="G704" s="95">
        <v>12200</v>
      </c>
      <c r="H704" s="95" t="s">
        <v>33</v>
      </c>
      <c r="I704" s="95"/>
      <c r="J704" s="95" t="s">
        <v>120</v>
      </c>
      <c r="K704" s="95" t="b">
        <v>1</v>
      </c>
      <c r="L704" s="95">
        <v>3</v>
      </c>
      <c r="M704" s="96">
        <v>2028</v>
      </c>
      <c r="N704" s="97">
        <v>5476630.5999999996</v>
      </c>
      <c r="O704" s="98">
        <v>46020</v>
      </c>
      <c r="P704" s="98">
        <v>46020</v>
      </c>
      <c r="Q704" s="99">
        <v>0</v>
      </c>
    </row>
    <row r="705" spans="1:17">
      <c r="A705" s="7">
        <v>2025</v>
      </c>
      <c r="B705" s="8" t="s">
        <v>434</v>
      </c>
      <c r="C705" s="94" t="s">
        <v>435</v>
      </c>
      <c r="D705" s="95">
        <v>3215062</v>
      </c>
      <c r="E705" s="95">
        <v>2</v>
      </c>
      <c r="F705" s="95"/>
      <c r="G705" s="95">
        <v>12200</v>
      </c>
      <c r="H705" s="95" t="s">
        <v>33</v>
      </c>
      <c r="I705" s="95"/>
      <c r="J705" s="95" t="s">
        <v>120</v>
      </c>
      <c r="K705" s="95" t="b">
        <v>1</v>
      </c>
      <c r="L705" s="95">
        <v>11</v>
      </c>
      <c r="M705" s="96">
        <v>2036</v>
      </c>
      <c r="N705" s="97">
        <v>0</v>
      </c>
      <c r="O705" s="98">
        <v>46020</v>
      </c>
      <c r="P705" s="98">
        <v>46020</v>
      </c>
      <c r="Q705" s="99">
        <v>0</v>
      </c>
    </row>
    <row r="706" spans="1:17">
      <c r="A706" s="7">
        <v>2025</v>
      </c>
      <c r="B706" s="8" t="s">
        <v>434</v>
      </c>
      <c r="C706" s="94" t="s">
        <v>435</v>
      </c>
      <c r="D706" s="95">
        <v>3215062</v>
      </c>
      <c r="E706" s="95">
        <v>2</v>
      </c>
      <c r="F706" s="95"/>
      <c r="G706" s="95">
        <v>12200</v>
      </c>
      <c r="H706" s="95" t="s">
        <v>33</v>
      </c>
      <c r="I706" s="95"/>
      <c r="J706" s="95" t="s">
        <v>120</v>
      </c>
      <c r="K706" s="95" t="b">
        <v>1</v>
      </c>
      <c r="L706" s="95">
        <v>2</v>
      </c>
      <c r="M706" s="96">
        <v>2027</v>
      </c>
      <c r="N706" s="97">
        <v>11655000</v>
      </c>
      <c r="O706" s="98">
        <v>46020</v>
      </c>
      <c r="P706" s="98">
        <v>46020</v>
      </c>
      <c r="Q706" s="99">
        <v>0</v>
      </c>
    </row>
    <row r="707" spans="1:17">
      <c r="A707" s="7">
        <v>2025</v>
      </c>
      <c r="B707" s="8" t="s">
        <v>434</v>
      </c>
      <c r="C707" s="94" t="s">
        <v>435</v>
      </c>
      <c r="D707" s="95">
        <v>3215062</v>
      </c>
      <c r="E707" s="95">
        <v>2</v>
      </c>
      <c r="F707" s="95"/>
      <c r="G707" s="95">
        <v>101100</v>
      </c>
      <c r="H707" s="95" t="s">
        <v>219</v>
      </c>
      <c r="I707" s="95"/>
      <c r="J707" s="95" t="s">
        <v>174</v>
      </c>
      <c r="K707" s="95" t="b">
        <v>1</v>
      </c>
      <c r="L707" s="95">
        <v>1</v>
      </c>
      <c r="M707" s="96">
        <v>2026</v>
      </c>
      <c r="N707" s="97">
        <v>3731678.19</v>
      </c>
      <c r="O707" s="98">
        <v>46020</v>
      </c>
      <c r="P707" s="98">
        <v>46020</v>
      </c>
      <c r="Q707" s="99">
        <v>0</v>
      </c>
    </row>
    <row r="708" spans="1:17">
      <c r="A708" s="7">
        <v>2025</v>
      </c>
      <c r="B708" s="8" t="s">
        <v>434</v>
      </c>
      <c r="C708" s="94" t="s">
        <v>435</v>
      </c>
      <c r="D708" s="95">
        <v>3215062</v>
      </c>
      <c r="E708" s="95">
        <v>2</v>
      </c>
      <c r="F708" s="95"/>
      <c r="G708" s="95">
        <v>101100</v>
      </c>
      <c r="H708" s="95" t="s">
        <v>219</v>
      </c>
      <c r="I708" s="95"/>
      <c r="J708" s="95" t="s">
        <v>174</v>
      </c>
      <c r="K708" s="95" t="b">
        <v>1</v>
      </c>
      <c r="L708" s="95">
        <v>8</v>
      </c>
      <c r="M708" s="96">
        <v>2033</v>
      </c>
      <c r="N708" s="97">
        <v>0</v>
      </c>
      <c r="O708" s="98">
        <v>46020</v>
      </c>
      <c r="P708" s="98">
        <v>46020</v>
      </c>
      <c r="Q708" s="99">
        <v>0</v>
      </c>
    </row>
    <row r="709" spans="1:17">
      <c r="A709" s="7">
        <v>2025</v>
      </c>
      <c r="B709" s="8" t="s">
        <v>434</v>
      </c>
      <c r="C709" s="94" t="s">
        <v>435</v>
      </c>
      <c r="D709" s="95">
        <v>3215062</v>
      </c>
      <c r="E709" s="95">
        <v>2</v>
      </c>
      <c r="F709" s="95"/>
      <c r="G709" s="95">
        <v>101100</v>
      </c>
      <c r="H709" s="95" t="s">
        <v>219</v>
      </c>
      <c r="I709" s="95"/>
      <c r="J709" s="95" t="s">
        <v>174</v>
      </c>
      <c r="K709" s="95" t="b">
        <v>1</v>
      </c>
      <c r="L709" s="95">
        <v>6</v>
      </c>
      <c r="M709" s="96">
        <v>2031</v>
      </c>
      <c r="N709" s="97">
        <v>0</v>
      </c>
      <c r="O709" s="98">
        <v>46020</v>
      </c>
      <c r="P709" s="98">
        <v>46020</v>
      </c>
      <c r="Q709" s="99">
        <v>0</v>
      </c>
    </row>
    <row r="710" spans="1:17">
      <c r="A710" s="7">
        <v>2025</v>
      </c>
      <c r="B710" s="8" t="s">
        <v>434</v>
      </c>
      <c r="C710" s="94" t="s">
        <v>435</v>
      </c>
      <c r="D710" s="95">
        <v>3215062</v>
      </c>
      <c r="E710" s="95">
        <v>2</v>
      </c>
      <c r="F710" s="95"/>
      <c r="G710" s="95">
        <v>101100</v>
      </c>
      <c r="H710" s="95" t="s">
        <v>219</v>
      </c>
      <c r="I710" s="95"/>
      <c r="J710" s="95" t="s">
        <v>174</v>
      </c>
      <c r="K710" s="95" t="b">
        <v>1</v>
      </c>
      <c r="L710" s="95">
        <v>0</v>
      </c>
      <c r="M710" s="96">
        <v>2025</v>
      </c>
      <c r="N710" s="97">
        <v>1701589.54</v>
      </c>
      <c r="O710" s="98">
        <v>46020</v>
      </c>
      <c r="P710" s="98">
        <v>46020</v>
      </c>
      <c r="Q710" s="99">
        <v>0</v>
      </c>
    </row>
    <row r="711" spans="1:17">
      <c r="A711" s="7">
        <v>2025</v>
      </c>
      <c r="B711" s="8" t="s">
        <v>434</v>
      </c>
      <c r="C711" s="94" t="s">
        <v>435</v>
      </c>
      <c r="D711" s="95">
        <v>3215062</v>
      </c>
      <c r="E711" s="95">
        <v>2</v>
      </c>
      <c r="F711" s="95"/>
      <c r="G711" s="95">
        <v>101100</v>
      </c>
      <c r="H711" s="95" t="s">
        <v>219</v>
      </c>
      <c r="I711" s="95"/>
      <c r="J711" s="95" t="s">
        <v>174</v>
      </c>
      <c r="K711" s="95" t="b">
        <v>1</v>
      </c>
      <c r="L711" s="95">
        <v>12</v>
      </c>
      <c r="M711" s="96">
        <v>2037</v>
      </c>
      <c r="N711" s="97">
        <v>0</v>
      </c>
      <c r="O711" s="98">
        <v>46020</v>
      </c>
      <c r="P711" s="98">
        <v>46020</v>
      </c>
      <c r="Q711" s="99">
        <v>0</v>
      </c>
    </row>
    <row r="712" spans="1:17">
      <c r="A712" s="7">
        <v>2025</v>
      </c>
      <c r="B712" s="8" t="s">
        <v>434</v>
      </c>
      <c r="C712" s="94" t="s">
        <v>435</v>
      </c>
      <c r="D712" s="95">
        <v>3215062</v>
      </c>
      <c r="E712" s="95">
        <v>2</v>
      </c>
      <c r="F712" s="95"/>
      <c r="G712" s="95">
        <v>101100</v>
      </c>
      <c r="H712" s="95" t="s">
        <v>219</v>
      </c>
      <c r="I712" s="95"/>
      <c r="J712" s="95" t="s">
        <v>174</v>
      </c>
      <c r="K712" s="95" t="b">
        <v>1</v>
      </c>
      <c r="L712" s="95">
        <v>11</v>
      </c>
      <c r="M712" s="96">
        <v>2036</v>
      </c>
      <c r="N712" s="97">
        <v>0</v>
      </c>
      <c r="O712" s="98">
        <v>46020</v>
      </c>
      <c r="P712" s="98">
        <v>46020</v>
      </c>
      <c r="Q712" s="99">
        <v>0</v>
      </c>
    </row>
    <row r="713" spans="1:17">
      <c r="A713" s="7">
        <v>2025</v>
      </c>
      <c r="B713" s="8" t="s">
        <v>434</v>
      </c>
      <c r="C713" s="94" t="s">
        <v>435</v>
      </c>
      <c r="D713" s="95">
        <v>3215062</v>
      </c>
      <c r="E713" s="95">
        <v>2</v>
      </c>
      <c r="F713" s="95"/>
      <c r="G713" s="95">
        <v>101100</v>
      </c>
      <c r="H713" s="95" t="s">
        <v>219</v>
      </c>
      <c r="I713" s="95"/>
      <c r="J713" s="95" t="s">
        <v>174</v>
      </c>
      <c r="K713" s="95" t="b">
        <v>1</v>
      </c>
      <c r="L713" s="95">
        <v>7</v>
      </c>
      <c r="M713" s="96">
        <v>2032</v>
      </c>
      <c r="N713" s="97">
        <v>0</v>
      </c>
      <c r="O713" s="98">
        <v>46020</v>
      </c>
      <c r="P713" s="98">
        <v>46020</v>
      </c>
      <c r="Q713" s="99">
        <v>0</v>
      </c>
    </row>
    <row r="714" spans="1:17">
      <c r="A714" s="7">
        <v>2025</v>
      </c>
      <c r="B714" s="8" t="s">
        <v>434</v>
      </c>
      <c r="C714" s="94" t="s">
        <v>435</v>
      </c>
      <c r="D714" s="95">
        <v>3215062</v>
      </c>
      <c r="E714" s="95">
        <v>2</v>
      </c>
      <c r="F714" s="95"/>
      <c r="G714" s="95">
        <v>101100</v>
      </c>
      <c r="H714" s="95" t="s">
        <v>219</v>
      </c>
      <c r="I714" s="95"/>
      <c r="J714" s="95" t="s">
        <v>174</v>
      </c>
      <c r="K714" s="95" t="b">
        <v>1</v>
      </c>
      <c r="L714" s="95">
        <v>10</v>
      </c>
      <c r="M714" s="96">
        <v>2035</v>
      </c>
      <c r="N714" s="97">
        <v>0</v>
      </c>
      <c r="O714" s="98">
        <v>46020</v>
      </c>
      <c r="P714" s="98">
        <v>46020</v>
      </c>
      <c r="Q714" s="99">
        <v>0</v>
      </c>
    </row>
    <row r="715" spans="1:17">
      <c r="A715" s="7">
        <v>2025</v>
      </c>
      <c r="B715" s="8" t="s">
        <v>434</v>
      </c>
      <c r="C715" s="94" t="s">
        <v>435</v>
      </c>
      <c r="D715" s="95">
        <v>3215062</v>
      </c>
      <c r="E715" s="95">
        <v>2</v>
      </c>
      <c r="F715" s="95"/>
      <c r="G715" s="95">
        <v>101100</v>
      </c>
      <c r="H715" s="95" t="s">
        <v>219</v>
      </c>
      <c r="I715" s="95"/>
      <c r="J715" s="95" t="s">
        <v>174</v>
      </c>
      <c r="K715" s="95" t="b">
        <v>1</v>
      </c>
      <c r="L715" s="95">
        <v>2</v>
      </c>
      <c r="M715" s="96">
        <v>2027</v>
      </c>
      <c r="N715" s="97">
        <v>2716430.08</v>
      </c>
      <c r="O715" s="98">
        <v>46020</v>
      </c>
      <c r="P715" s="98">
        <v>46020</v>
      </c>
      <c r="Q715" s="99">
        <v>0</v>
      </c>
    </row>
    <row r="716" spans="1:17">
      <c r="A716" s="7">
        <v>2025</v>
      </c>
      <c r="B716" s="8" t="s">
        <v>434</v>
      </c>
      <c r="C716" s="94" t="s">
        <v>435</v>
      </c>
      <c r="D716" s="95">
        <v>3215062</v>
      </c>
      <c r="E716" s="95">
        <v>2</v>
      </c>
      <c r="F716" s="95"/>
      <c r="G716" s="95">
        <v>101100</v>
      </c>
      <c r="H716" s="95" t="s">
        <v>219</v>
      </c>
      <c r="I716" s="95"/>
      <c r="J716" s="95" t="s">
        <v>174</v>
      </c>
      <c r="K716" s="95" t="b">
        <v>1</v>
      </c>
      <c r="L716" s="95">
        <v>4</v>
      </c>
      <c r="M716" s="96">
        <v>2029</v>
      </c>
      <c r="N716" s="97">
        <v>0</v>
      </c>
      <c r="O716" s="98">
        <v>46020</v>
      </c>
      <c r="P716" s="98">
        <v>46020</v>
      </c>
      <c r="Q716" s="99">
        <v>0</v>
      </c>
    </row>
    <row r="717" spans="1:17">
      <c r="A717" s="7">
        <v>2025</v>
      </c>
      <c r="B717" s="8" t="s">
        <v>434</v>
      </c>
      <c r="C717" s="94" t="s">
        <v>435</v>
      </c>
      <c r="D717" s="95">
        <v>3215062</v>
      </c>
      <c r="E717" s="95">
        <v>2</v>
      </c>
      <c r="F717" s="95"/>
      <c r="G717" s="95">
        <v>101100</v>
      </c>
      <c r="H717" s="95" t="s">
        <v>219</v>
      </c>
      <c r="I717" s="95"/>
      <c r="J717" s="95" t="s">
        <v>174</v>
      </c>
      <c r="K717" s="95" t="b">
        <v>1</v>
      </c>
      <c r="L717" s="95">
        <v>5</v>
      </c>
      <c r="M717" s="96">
        <v>2030</v>
      </c>
      <c r="N717" s="97">
        <v>0</v>
      </c>
      <c r="O717" s="98">
        <v>46020</v>
      </c>
      <c r="P717" s="98">
        <v>46020</v>
      </c>
      <c r="Q717" s="99">
        <v>0</v>
      </c>
    </row>
    <row r="718" spans="1:17">
      <c r="A718" s="7">
        <v>2025</v>
      </c>
      <c r="B718" s="8" t="s">
        <v>434</v>
      </c>
      <c r="C718" s="94" t="s">
        <v>435</v>
      </c>
      <c r="D718" s="95">
        <v>3215062</v>
      </c>
      <c r="E718" s="95">
        <v>2</v>
      </c>
      <c r="F718" s="95"/>
      <c r="G718" s="95">
        <v>101100</v>
      </c>
      <c r="H718" s="95" t="s">
        <v>219</v>
      </c>
      <c r="I718" s="95"/>
      <c r="J718" s="95" t="s">
        <v>174</v>
      </c>
      <c r="K718" s="95" t="b">
        <v>1</v>
      </c>
      <c r="L718" s="95">
        <v>13</v>
      </c>
      <c r="M718" s="96">
        <v>2038</v>
      </c>
      <c r="N718" s="97">
        <v>0</v>
      </c>
      <c r="O718" s="98">
        <v>46020</v>
      </c>
      <c r="P718" s="98">
        <v>46020</v>
      </c>
      <c r="Q718" s="99">
        <v>0</v>
      </c>
    </row>
    <row r="719" spans="1:17">
      <c r="A719" s="7">
        <v>2025</v>
      </c>
      <c r="B719" s="8" t="s">
        <v>434</v>
      </c>
      <c r="C719" s="94" t="s">
        <v>435</v>
      </c>
      <c r="D719" s="95">
        <v>3215062</v>
      </c>
      <c r="E719" s="95">
        <v>2</v>
      </c>
      <c r="F719" s="95"/>
      <c r="G719" s="95">
        <v>101100</v>
      </c>
      <c r="H719" s="95" t="s">
        <v>219</v>
      </c>
      <c r="I719" s="95"/>
      <c r="J719" s="95" t="s">
        <v>174</v>
      </c>
      <c r="K719" s="95" t="b">
        <v>1</v>
      </c>
      <c r="L719" s="95">
        <v>3</v>
      </c>
      <c r="M719" s="96">
        <v>2028</v>
      </c>
      <c r="N719" s="97">
        <v>13800</v>
      </c>
      <c r="O719" s="98">
        <v>46020</v>
      </c>
      <c r="P719" s="98">
        <v>46020</v>
      </c>
      <c r="Q719" s="99">
        <v>0</v>
      </c>
    </row>
    <row r="720" spans="1:17">
      <c r="A720" s="7">
        <v>2025</v>
      </c>
      <c r="B720" s="8" t="s">
        <v>434</v>
      </c>
      <c r="C720" s="94" t="s">
        <v>435</v>
      </c>
      <c r="D720" s="95">
        <v>3215062</v>
      </c>
      <c r="E720" s="95">
        <v>2</v>
      </c>
      <c r="F720" s="95"/>
      <c r="G720" s="95">
        <v>101100</v>
      </c>
      <c r="H720" s="95" t="s">
        <v>219</v>
      </c>
      <c r="I720" s="95"/>
      <c r="J720" s="95" t="s">
        <v>174</v>
      </c>
      <c r="K720" s="95" t="b">
        <v>1</v>
      </c>
      <c r="L720" s="95">
        <v>9</v>
      </c>
      <c r="M720" s="96">
        <v>2034</v>
      </c>
      <c r="N720" s="97">
        <v>0</v>
      </c>
      <c r="O720" s="98">
        <v>46020</v>
      </c>
      <c r="P720" s="98">
        <v>46020</v>
      </c>
      <c r="Q720" s="99">
        <v>0</v>
      </c>
    </row>
    <row r="721" spans="1:17">
      <c r="A721" s="7">
        <v>2025</v>
      </c>
      <c r="B721" s="8" t="s">
        <v>434</v>
      </c>
      <c r="C721" s="94" t="s">
        <v>435</v>
      </c>
      <c r="D721" s="95">
        <v>3215062</v>
      </c>
      <c r="E721" s="95">
        <v>2</v>
      </c>
      <c r="F721" s="95"/>
      <c r="G721" s="95">
        <v>81000</v>
      </c>
      <c r="H721" s="95">
        <v>8.1</v>
      </c>
      <c r="I721" s="95"/>
      <c r="J721" s="95" t="s">
        <v>152</v>
      </c>
      <c r="K721" s="95" t="b">
        <v>1</v>
      </c>
      <c r="L721" s="95">
        <v>13</v>
      </c>
      <c r="M721" s="96">
        <v>2038</v>
      </c>
      <c r="N721" s="97">
        <v>1.1999999999999999E-3</v>
      </c>
      <c r="O721" s="98">
        <v>46020</v>
      </c>
      <c r="P721" s="98">
        <v>46020</v>
      </c>
      <c r="Q721" s="99">
        <v>0</v>
      </c>
    </row>
    <row r="722" spans="1:17">
      <c r="A722" s="7">
        <v>2025</v>
      </c>
      <c r="B722" s="8" t="s">
        <v>434</v>
      </c>
      <c r="C722" s="94" t="s">
        <v>435</v>
      </c>
      <c r="D722" s="95">
        <v>3215062</v>
      </c>
      <c r="E722" s="95">
        <v>2</v>
      </c>
      <c r="F722" s="95"/>
      <c r="G722" s="95">
        <v>81000</v>
      </c>
      <c r="H722" s="95">
        <v>8.1</v>
      </c>
      <c r="I722" s="95"/>
      <c r="J722" s="95" t="s">
        <v>152</v>
      </c>
      <c r="K722" s="95" t="b">
        <v>1</v>
      </c>
      <c r="L722" s="95">
        <v>10</v>
      </c>
      <c r="M722" s="96">
        <v>2035</v>
      </c>
      <c r="N722" s="97">
        <v>3.5999999999999999E-3</v>
      </c>
      <c r="O722" s="98">
        <v>46020</v>
      </c>
      <c r="P722" s="98">
        <v>46020</v>
      </c>
      <c r="Q722" s="99">
        <v>0</v>
      </c>
    </row>
    <row r="723" spans="1:17">
      <c r="A723" s="7">
        <v>2025</v>
      </c>
      <c r="B723" s="8" t="s">
        <v>434</v>
      </c>
      <c r="C723" s="94" t="s">
        <v>435</v>
      </c>
      <c r="D723" s="95">
        <v>3215062</v>
      </c>
      <c r="E723" s="95">
        <v>2</v>
      </c>
      <c r="F723" s="95"/>
      <c r="G723" s="95">
        <v>81000</v>
      </c>
      <c r="H723" s="95">
        <v>8.1</v>
      </c>
      <c r="I723" s="95"/>
      <c r="J723" s="95" t="s">
        <v>152</v>
      </c>
      <c r="K723" s="95" t="b">
        <v>1</v>
      </c>
      <c r="L723" s="95">
        <v>6</v>
      </c>
      <c r="M723" s="96">
        <v>2031</v>
      </c>
      <c r="N723" s="97">
        <v>5.1000000000000004E-3</v>
      </c>
      <c r="O723" s="98">
        <v>46020</v>
      </c>
      <c r="P723" s="98">
        <v>46020</v>
      </c>
      <c r="Q723" s="99">
        <v>0</v>
      </c>
    </row>
    <row r="724" spans="1:17">
      <c r="A724" s="7">
        <v>2025</v>
      </c>
      <c r="B724" s="8" t="s">
        <v>434</v>
      </c>
      <c r="C724" s="94" t="s">
        <v>435</v>
      </c>
      <c r="D724" s="95">
        <v>3215062</v>
      </c>
      <c r="E724" s="95">
        <v>2</v>
      </c>
      <c r="F724" s="95"/>
      <c r="G724" s="95">
        <v>81000</v>
      </c>
      <c r="H724" s="95">
        <v>8.1</v>
      </c>
      <c r="I724" s="95"/>
      <c r="J724" s="95" t="s">
        <v>152</v>
      </c>
      <c r="K724" s="95" t="b">
        <v>1</v>
      </c>
      <c r="L724" s="95">
        <v>3</v>
      </c>
      <c r="M724" s="96">
        <v>2028</v>
      </c>
      <c r="N724" s="97">
        <v>1.5900000000000001E-2</v>
      </c>
      <c r="O724" s="98">
        <v>46020</v>
      </c>
      <c r="P724" s="98">
        <v>46020</v>
      </c>
      <c r="Q724" s="99">
        <v>0</v>
      </c>
    </row>
    <row r="725" spans="1:17">
      <c r="A725" s="7">
        <v>2025</v>
      </c>
      <c r="B725" s="8" t="s">
        <v>434</v>
      </c>
      <c r="C725" s="94" t="s">
        <v>435</v>
      </c>
      <c r="D725" s="95">
        <v>3215062</v>
      </c>
      <c r="E725" s="95">
        <v>2</v>
      </c>
      <c r="F725" s="95"/>
      <c r="G725" s="95">
        <v>81000</v>
      </c>
      <c r="H725" s="95">
        <v>8.1</v>
      </c>
      <c r="I725" s="95"/>
      <c r="J725" s="95" t="s">
        <v>152</v>
      </c>
      <c r="K725" s="95" t="b">
        <v>1</v>
      </c>
      <c r="L725" s="95">
        <v>2</v>
      </c>
      <c r="M725" s="96">
        <v>2027</v>
      </c>
      <c r="N725" s="97">
        <v>2.1100000000000001E-2</v>
      </c>
      <c r="O725" s="98">
        <v>46020</v>
      </c>
      <c r="P725" s="98">
        <v>46020</v>
      </c>
      <c r="Q725" s="99">
        <v>0</v>
      </c>
    </row>
    <row r="726" spans="1:17">
      <c r="A726" s="7">
        <v>2025</v>
      </c>
      <c r="B726" s="8" t="s">
        <v>434</v>
      </c>
      <c r="C726" s="94" t="s">
        <v>435</v>
      </c>
      <c r="D726" s="95">
        <v>3215062</v>
      </c>
      <c r="E726" s="95">
        <v>2</v>
      </c>
      <c r="F726" s="95"/>
      <c r="G726" s="95">
        <v>81000</v>
      </c>
      <c r="H726" s="95">
        <v>8.1</v>
      </c>
      <c r="I726" s="95"/>
      <c r="J726" s="95" t="s">
        <v>152</v>
      </c>
      <c r="K726" s="95" t="b">
        <v>1</v>
      </c>
      <c r="L726" s="95">
        <v>4</v>
      </c>
      <c r="M726" s="96">
        <v>2029</v>
      </c>
      <c r="N726" s="97">
        <v>1.29E-2</v>
      </c>
      <c r="O726" s="98">
        <v>46020</v>
      </c>
      <c r="P726" s="98">
        <v>46020</v>
      </c>
      <c r="Q726" s="99">
        <v>0</v>
      </c>
    </row>
    <row r="727" spans="1:17">
      <c r="A727" s="7">
        <v>2025</v>
      </c>
      <c r="B727" s="8" t="s">
        <v>434</v>
      </c>
      <c r="C727" s="94" t="s">
        <v>435</v>
      </c>
      <c r="D727" s="95">
        <v>3215062</v>
      </c>
      <c r="E727" s="95">
        <v>2</v>
      </c>
      <c r="F727" s="95"/>
      <c r="G727" s="95">
        <v>81000</v>
      </c>
      <c r="H727" s="95">
        <v>8.1</v>
      </c>
      <c r="I727" s="95"/>
      <c r="J727" s="95" t="s">
        <v>152</v>
      </c>
      <c r="K727" s="95" t="b">
        <v>1</v>
      </c>
      <c r="L727" s="95">
        <v>11</v>
      </c>
      <c r="M727" s="96">
        <v>2036</v>
      </c>
      <c r="N727" s="97">
        <v>1.4E-3</v>
      </c>
      <c r="O727" s="98">
        <v>46020</v>
      </c>
      <c r="P727" s="98">
        <v>46020</v>
      </c>
      <c r="Q727" s="99">
        <v>0</v>
      </c>
    </row>
    <row r="728" spans="1:17">
      <c r="A728" s="7">
        <v>2025</v>
      </c>
      <c r="B728" s="8" t="s">
        <v>434</v>
      </c>
      <c r="C728" s="94" t="s">
        <v>435</v>
      </c>
      <c r="D728" s="95">
        <v>3215062</v>
      </c>
      <c r="E728" s="95">
        <v>2</v>
      </c>
      <c r="F728" s="95"/>
      <c r="G728" s="95">
        <v>81000</v>
      </c>
      <c r="H728" s="95">
        <v>8.1</v>
      </c>
      <c r="I728" s="95"/>
      <c r="J728" s="95" t="s">
        <v>152</v>
      </c>
      <c r="K728" s="95" t="b">
        <v>1</v>
      </c>
      <c r="L728" s="95">
        <v>7</v>
      </c>
      <c r="M728" s="96">
        <v>2032</v>
      </c>
      <c r="N728" s="97">
        <v>4.5999999999999999E-3</v>
      </c>
      <c r="O728" s="98">
        <v>46020</v>
      </c>
      <c r="P728" s="98">
        <v>46020</v>
      </c>
      <c r="Q728" s="99">
        <v>0</v>
      </c>
    </row>
    <row r="729" spans="1:17">
      <c r="A729" s="7">
        <v>2025</v>
      </c>
      <c r="B729" s="8" t="s">
        <v>434</v>
      </c>
      <c r="C729" s="94" t="s">
        <v>435</v>
      </c>
      <c r="D729" s="95">
        <v>3215062</v>
      </c>
      <c r="E729" s="95">
        <v>2</v>
      </c>
      <c r="F729" s="95"/>
      <c r="G729" s="95">
        <v>81000</v>
      </c>
      <c r="H729" s="95">
        <v>8.1</v>
      </c>
      <c r="I729" s="95"/>
      <c r="J729" s="95" t="s">
        <v>152</v>
      </c>
      <c r="K729" s="95" t="b">
        <v>1</v>
      </c>
      <c r="L729" s="95">
        <v>12</v>
      </c>
      <c r="M729" s="96">
        <v>2037</v>
      </c>
      <c r="N729" s="97">
        <v>1.4E-3</v>
      </c>
      <c r="O729" s="98">
        <v>46020</v>
      </c>
      <c r="P729" s="98">
        <v>46020</v>
      </c>
      <c r="Q729" s="99">
        <v>0</v>
      </c>
    </row>
    <row r="730" spans="1:17">
      <c r="A730" s="7">
        <v>2025</v>
      </c>
      <c r="B730" s="8" t="s">
        <v>434</v>
      </c>
      <c r="C730" s="94" t="s">
        <v>435</v>
      </c>
      <c r="D730" s="95">
        <v>3215062</v>
      </c>
      <c r="E730" s="95">
        <v>2</v>
      </c>
      <c r="F730" s="95"/>
      <c r="G730" s="95">
        <v>107210</v>
      </c>
      <c r="H730" s="95" t="s">
        <v>223</v>
      </c>
      <c r="I730" s="95"/>
      <c r="J730" s="95" t="s">
        <v>184</v>
      </c>
      <c r="K730" s="95" t="b">
        <v>1</v>
      </c>
      <c r="L730" s="95">
        <v>2</v>
      </c>
      <c r="M730" s="96">
        <v>2027</v>
      </c>
      <c r="N730" s="97">
        <v>0</v>
      </c>
      <c r="O730" s="98">
        <v>46020</v>
      </c>
      <c r="P730" s="98">
        <v>46020</v>
      </c>
      <c r="Q730" s="99">
        <v>0</v>
      </c>
    </row>
    <row r="731" spans="1:17">
      <c r="A731" s="7">
        <v>2025</v>
      </c>
      <c r="B731" s="8" t="s">
        <v>434</v>
      </c>
      <c r="C731" s="94" t="s">
        <v>435</v>
      </c>
      <c r="D731" s="95">
        <v>3215062</v>
      </c>
      <c r="E731" s="95">
        <v>2</v>
      </c>
      <c r="F731" s="95"/>
      <c r="G731" s="95">
        <v>71000</v>
      </c>
      <c r="H731" s="95">
        <v>7.1</v>
      </c>
      <c r="I731" s="95" t="s">
        <v>453</v>
      </c>
      <c r="J731" s="95" t="s">
        <v>150</v>
      </c>
      <c r="K731" s="95" t="b">
        <v>0</v>
      </c>
      <c r="L731" s="95">
        <v>9</v>
      </c>
      <c r="M731" s="96">
        <v>2034</v>
      </c>
      <c r="N731" s="97">
        <v>1297454.03</v>
      </c>
      <c r="O731" s="98">
        <v>46020</v>
      </c>
      <c r="P731" s="98">
        <v>46020</v>
      </c>
      <c r="Q731" s="99">
        <v>0</v>
      </c>
    </row>
    <row r="732" spans="1:17">
      <c r="A732" s="7">
        <v>2025</v>
      </c>
      <c r="B732" s="8" t="s">
        <v>434</v>
      </c>
      <c r="C732" s="94" t="s">
        <v>435</v>
      </c>
      <c r="D732" s="95">
        <v>3215062</v>
      </c>
      <c r="E732" s="95">
        <v>2</v>
      </c>
      <c r="F732" s="95"/>
      <c r="G732" s="95">
        <v>81000</v>
      </c>
      <c r="H732" s="95">
        <v>8.1</v>
      </c>
      <c r="I732" s="95"/>
      <c r="J732" s="95" t="s">
        <v>152</v>
      </c>
      <c r="K732" s="95" t="b">
        <v>1</v>
      </c>
      <c r="L732" s="95">
        <v>1</v>
      </c>
      <c r="M732" s="96">
        <v>2026</v>
      </c>
      <c r="N732" s="97">
        <v>2.2200000000000001E-2</v>
      </c>
      <c r="O732" s="98">
        <v>46020</v>
      </c>
      <c r="P732" s="98">
        <v>46020</v>
      </c>
      <c r="Q732" s="99">
        <v>0</v>
      </c>
    </row>
    <row r="733" spans="1:17">
      <c r="A733" s="7">
        <v>2025</v>
      </c>
      <c r="B733" s="8" t="s">
        <v>434</v>
      </c>
      <c r="C733" s="94" t="s">
        <v>435</v>
      </c>
      <c r="D733" s="95">
        <v>3215062</v>
      </c>
      <c r="E733" s="95">
        <v>2</v>
      </c>
      <c r="F733" s="95"/>
      <c r="G733" s="95">
        <v>81000</v>
      </c>
      <c r="H733" s="95">
        <v>8.1</v>
      </c>
      <c r="I733" s="95"/>
      <c r="J733" s="95" t="s">
        <v>152</v>
      </c>
      <c r="K733" s="95" t="b">
        <v>1</v>
      </c>
      <c r="L733" s="95">
        <v>5</v>
      </c>
      <c r="M733" s="96">
        <v>2030</v>
      </c>
      <c r="N733" s="97">
        <v>5.5999999999999999E-3</v>
      </c>
      <c r="O733" s="98">
        <v>46020</v>
      </c>
      <c r="P733" s="98">
        <v>46020</v>
      </c>
      <c r="Q733" s="99">
        <v>0</v>
      </c>
    </row>
    <row r="734" spans="1:17">
      <c r="A734" s="7">
        <v>2025</v>
      </c>
      <c r="B734" s="8" t="s">
        <v>434</v>
      </c>
      <c r="C734" s="94" t="s">
        <v>435</v>
      </c>
      <c r="D734" s="95">
        <v>3215062</v>
      </c>
      <c r="E734" s="95">
        <v>2</v>
      </c>
      <c r="F734" s="95"/>
      <c r="G734" s="95">
        <v>81000</v>
      </c>
      <c r="H734" s="95">
        <v>8.1</v>
      </c>
      <c r="I734" s="95"/>
      <c r="J734" s="95" t="s">
        <v>152</v>
      </c>
      <c r="K734" s="95" t="b">
        <v>1</v>
      </c>
      <c r="L734" s="95">
        <v>8</v>
      </c>
      <c r="M734" s="96">
        <v>2033</v>
      </c>
      <c r="N734" s="97">
        <v>4.1000000000000003E-3</v>
      </c>
      <c r="O734" s="98">
        <v>46020</v>
      </c>
      <c r="P734" s="98">
        <v>46020</v>
      </c>
      <c r="Q734" s="99">
        <v>0</v>
      </c>
    </row>
    <row r="735" spans="1:17">
      <c r="A735" s="7">
        <v>2025</v>
      </c>
      <c r="B735" s="8" t="s">
        <v>434</v>
      </c>
      <c r="C735" s="94" t="s">
        <v>435</v>
      </c>
      <c r="D735" s="95">
        <v>3215062</v>
      </c>
      <c r="E735" s="95">
        <v>2</v>
      </c>
      <c r="F735" s="95"/>
      <c r="G735" s="95">
        <v>81000</v>
      </c>
      <c r="H735" s="95">
        <v>8.1</v>
      </c>
      <c r="I735" s="95"/>
      <c r="J735" s="95" t="s">
        <v>152</v>
      </c>
      <c r="K735" s="95" t="b">
        <v>1</v>
      </c>
      <c r="L735" s="95">
        <v>0</v>
      </c>
      <c r="M735" s="96">
        <v>2025</v>
      </c>
      <c r="N735" s="97">
        <v>1.95E-2</v>
      </c>
      <c r="O735" s="98">
        <v>46020</v>
      </c>
      <c r="P735" s="98">
        <v>46020</v>
      </c>
      <c r="Q735" s="99">
        <v>0</v>
      </c>
    </row>
    <row r="736" spans="1:17">
      <c r="A736" s="7">
        <v>2025</v>
      </c>
      <c r="B736" s="8" t="s">
        <v>434</v>
      </c>
      <c r="C736" s="94" t="s">
        <v>435</v>
      </c>
      <c r="D736" s="95">
        <v>3215062</v>
      </c>
      <c r="E736" s="95">
        <v>2</v>
      </c>
      <c r="F736" s="95"/>
      <c r="G736" s="95">
        <v>81000</v>
      </c>
      <c r="H736" s="95">
        <v>8.1</v>
      </c>
      <c r="I736" s="95"/>
      <c r="J736" s="95" t="s">
        <v>152</v>
      </c>
      <c r="K736" s="95" t="b">
        <v>1</v>
      </c>
      <c r="L736" s="95">
        <v>9</v>
      </c>
      <c r="M736" s="96">
        <v>2034</v>
      </c>
      <c r="N736" s="97">
        <v>6.7000000000000002E-3</v>
      </c>
      <c r="O736" s="98">
        <v>46020</v>
      </c>
      <c r="P736" s="98">
        <v>46020</v>
      </c>
      <c r="Q736" s="99">
        <v>0</v>
      </c>
    </row>
    <row r="737" spans="1:17">
      <c r="A737" s="7">
        <v>2025</v>
      </c>
      <c r="B737" s="8" t="s">
        <v>434</v>
      </c>
      <c r="C737" s="94" t="s">
        <v>435</v>
      </c>
      <c r="D737" s="95">
        <v>3215062</v>
      </c>
      <c r="E737" s="95">
        <v>2</v>
      </c>
      <c r="F737" s="95"/>
      <c r="G737" s="95">
        <v>40000</v>
      </c>
      <c r="H737" s="95">
        <v>4</v>
      </c>
      <c r="I737" s="95" t="s">
        <v>454</v>
      </c>
      <c r="J737" s="95" t="s">
        <v>19</v>
      </c>
      <c r="K737" s="95" t="b">
        <v>0</v>
      </c>
      <c r="L737" s="95">
        <v>11</v>
      </c>
      <c r="M737" s="96">
        <v>2036</v>
      </c>
      <c r="N737" s="97">
        <v>0</v>
      </c>
      <c r="O737" s="98">
        <v>46020</v>
      </c>
      <c r="P737" s="98">
        <v>46020</v>
      </c>
      <c r="Q737" s="99">
        <v>0</v>
      </c>
    </row>
    <row r="738" spans="1:17">
      <c r="A738" s="7">
        <v>2025</v>
      </c>
      <c r="B738" s="8" t="s">
        <v>434</v>
      </c>
      <c r="C738" s="94" t="s">
        <v>435</v>
      </c>
      <c r="D738" s="95">
        <v>3215062</v>
      </c>
      <c r="E738" s="95">
        <v>2</v>
      </c>
      <c r="F738" s="95"/>
      <c r="G738" s="95">
        <v>40000</v>
      </c>
      <c r="H738" s="95">
        <v>4</v>
      </c>
      <c r="I738" s="95" t="s">
        <v>454</v>
      </c>
      <c r="J738" s="95" t="s">
        <v>19</v>
      </c>
      <c r="K738" s="95" t="b">
        <v>0</v>
      </c>
      <c r="L738" s="95">
        <v>9</v>
      </c>
      <c r="M738" s="96">
        <v>2034</v>
      </c>
      <c r="N738" s="97">
        <v>0</v>
      </c>
      <c r="O738" s="98">
        <v>46020</v>
      </c>
      <c r="P738" s="98">
        <v>46020</v>
      </c>
      <c r="Q738" s="99">
        <v>0</v>
      </c>
    </row>
    <row r="739" spans="1:17">
      <c r="A739" s="7">
        <v>2025</v>
      </c>
      <c r="B739" s="8" t="s">
        <v>434</v>
      </c>
      <c r="C739" s="94" t="s">
        <v>435</v>
      </c>
      <c r="D739" s="95">
        <v>3215062</v>
      </c>
      <c r="E739" s="95">
        <v>2</v>
      </c>
      <c r="F739" s="95"/>
      <c r="G739" s="95">
        <v>40000</v>
      </c>
      <c r="H739" s="95">
        <v>4</v>
      </c>
      <c r="I739" s="95" t="s">
        <v>454</v>
      </c>
      <c r="J739" s="95" t="s">
        <v>19</v>
      </c>
      <c r="K739" s="95" t="b">
        <v>0</v>
      </c>
      <c r="L739" s="95">
        <v>5</v>
      </c>
      <c r="M739" s="96">
        <v>2030</v>
      </c>
      <c r="N739" s="97">
        <v>0</v>
      </c>
      <c r="O739" s="98">
        <v>46020</v>
      </c>
      <c r="P739" s="98">
        <v>46020</v>
      </c>
      <c r="Q739" s="99">
        <v>0</v>
      </c>
    </row>
    <row r="740" spans="1:17">
      <c r="A740" s="7">
        <v>2025</v>
      </c>
      <c r="B740" s="8" t="s">
        <v>434</v>
      </c>
      <c r="C740" s="94" t="s">
        <v>435</v>
      </c>
      <c r="D740" s="95">
        <v>3215062</v>
      </c>
      <c r="E740" s="95">
        <v>2</v>
      </c>
      <c r="F740" s="95"/>
      <c r="G740" s="95">
        <v>40000</v>
      </c>
      <c r="H740" s="95">
        <v>4</v>
      </c>
      <c r="I740" s="95" t="s">
        <v>454</v>
      </c>
      <c r="J740" s="95" t="s">
        <v>19</v>
      </c>
      <c r="K740" s="95" t="b">
        <v>0</v>
      </c>
      <c r="L740" s="95">
        <v>7</v>
      </c>
      <c r="M740" s="96">
        <v>2032</v>
      </c>
      <c r="N740" s="97">
        <v>0</v>
      </c>
      <c r="O740" s="98">
        <v>46020</v>
      </c>
      <c r="P740" s="98">
        <v>46020</v>
      </c>
      <c r="Q740" s="99">
        <v>0</v>
      </c>
    </row>
    <row r="741" spans="1:17">
      <c r="A741" s="7">
        <v>2025</v>
      </c>
      <c r="B741" s="8" t="s">
        <v>434</v>
      </c>
      <c r="C741" s="94" t="s">
        <v>435</v>
      </c>
      <c r="D741" s="95">
        <v>3215062</v>
      </c>
      <c r="E741" s="95">
        <v>2</v>
      </c>
      <c r="F741" s="95"/>
      <c r="G741" s="95">
        <v>40000</v>
      </c>
      <c r="H741" s="95">
        <v>4</v>
      </c>
      <c r="I741" s="95" t="s">
        <v>454</v>
      </c>
      <c r="J741" s="95" t="s">
        <v>19</v>
      </c>
      <c r="K741" s="95" t="b">
        <v>0</v>
      </c>
      <c r="L741" s="95">
        <v>1</v>
      </c>
      <c r="M741" s="96">
        <v>2026</v>
      </c>
      <c r="N741" s="97">
        <v>0</v>
      </c>
      <c r="O741" s="98">
        <v>46020</v>
      </c>
      <c r="P741" s="98">
        <v>46020</v>
      </c>
      <c r="Q741" s="99">
        <v>0</v>
      </c>
    </row>
    <row r="742" spans="1:17">
      <c r="A742" s="7">
        <v>2025</v>
      </c>
      <c r="B742" s="8" t="s">
        <v>434</v>
      </c>
      <c r="C742" s="94" t="s">
        <v>435</v>
      </c>
      <c r="D742" s="95">
        <v>3215062</v>
      </c>
      <c r="E742" s="95">
        <v>2</v>
      </c>
      <c r="F742" s="95"/>
      <c r="G742" s="95">
        <v>40000</v>
      </c>
      <c r="H742" s="95">
        <v>4</v>
      </c>
      <c r="I742" s="95" t="s">
        <v>454</v>
      </c>
      <c r="J742" s="95" t="s">
        <v>19</v>
      </c>
      <c r="K742" s="95" t="b">
        <v>0</v>
      </c>
      <c r="L742" s="95">
        <v>0</v>
      </c>
      <c r="M742" s="96">
        <v>2025</v>
      </c>
      <c r="N742" s="97">
        <v>9472517.1799999997</v>
      </c>
      <c r="O742" s="98">
        <v>46020</v>
      </c>
      <c r="P742" s="98">
        <v>46020</v>
      </c>
      <c r="Q742" s="99">
        <v>0</v>
      </c>
    </row>
    <row r="743" spans="1:17">
      <c r="A743" s="7">
        <v>2025</v>
      </c>
      <c r="B743" s="8" t="s">
        <v>434</v>
      </c>
      <c r="C743" s="94" t="s">
        <v>435</v>
      </c>
      <c r="D743" s="95">
        <v>3215062</v>
      </c>
      <c r="E743" s="95">
        <v>2</v>
      </c>
      <c r="F743" s="95"/>
      <c r="G743" s="95">
        <v>40000</v>
      </c>
      <c r="H743" s="95">
        <v>4</v>
      </c>
      <c r="I743" s="95" t="s">
        <v>454</v>
      </c>
      <c r="J743" s="95" t="s">
        <v>19</v>
      </c>
      <c r="K743" s="95" t="b">
        <v>0</v>
      </c>
      <c r="L743" s="95">
        <v>8</v>
      </c>
      <c r="M743" s="96">
        <v>2033</v>
      </c>
      <c r="N743" s="97">
        <v>0</v>
      </c>
      <c r="O743" s="98">
        <v>46020</v>
      </c>
      <c r="P743" s="98">
        <v>46020</v>
      </c>
      <c r="Q743" s="99">
        <v>0</v>
      </c>
    </row>
    <row r="744" spans="1:17">
      <c r="A744" s="7">
        <v>2025</v>
      </c>
      <c r="B744" s="8" t="s">
        <v>434</v>
      </c>
      <c r="C744" s="94" t="s">
        <v>435</v>
      </c>
      <c r="D744" s="95">
        <v>3215062</v>
      </c>
      <c r="E744" s="95">
        <v>2</v>
      </c>
      <c r="F744" s="95"/>
      <c r="G744" s="95">
        <v>40000</v>
      </c>
      <c r="H744" s="95">
        <v>4</v>
      </c>
      <c r="I744" s="95" t="s">
        <v>454</v>
      </c>
      <c r="J744" s="95" t="s">
        <v>19</v>
      </c>
      <c r="K744" s="95" t="b">
        <v>0</v>
      </c>
      <c r="L744" s="95">
        <v>4</v>
      </c>
      <c r="M744" s="96">
        <v>2029</v>
      </c>
      <c r="N744" s="97">
        <v>0</v>
      </c>
      <c r="O744" s="98">
        <v>46020</v>
      </c>
      <c r="P744" s="98">
        <v>46020</v>
      </c>
      <c r="Q744" s="99">
        <v>0</v>
      </c>
    </row>
    <row r="745" spans="1:17">
      <c r="A745" s="7">
        <v>2025</v>
      </c>
      <c r="B745" s="8" t="s">
        <v>434</v>
      </c>
      <c r="C745" s="94" t="s">
        <v>435</v>
      </c>
      <c r="D745" s="95">
        <v>3215062</v>
      </c>
      <c r="E745" s="95">
        <v>2</v>
      </c>
      <c r="F745" s="95"/>
      <c r="G745" s="95">
        <v>40000</v>
      </c>
      <c r="H745" s="95">
        <v>4</v>
      </c>
      <c r="I745" s="95" t="s">
        <v>454</v>
      </c>
      <c r="J745" s="95" t="s">
        <v>19</v>
      </c>
      <c r="K745" s="95" t="b">
        <v>0</v>
      </c>
      <c r="L745" s="95">
        <v>13</v>
      </c>
      <c r="M745" s="96">
        <v>2038</v>
      </c>
      <c r="N745" s="97">
        <v>0</v>
      </c>
      <c r="O745" s="98">
        <v>46020</v>
      </c>
      <c r="P745" s="98">
        <v>46020</v>
      </c>
      <c r="Q745" s="99">
        <v>0</v>
      </c>
    </row>
    <row r="746" spans="1:17">
      <c r="A746" s="7">
        <v>2025</v>
      </c>
      <c r="B746" s="8" t="s">
        <v>434</v>
      </c>
      <c r="C746" s="94" t="s">
        <v>435</v>
      </c>
      <c r="D746" s="95">
        <v>3215062</v>
      </c>
      <c r="E746" s="95">
        <v>2</v>
      </c>
      <c r="F746" s="95"/>
      <c r="G746" s="95">
        <v>40000</v>
      </c>
      <c r="H746" s="95">
        <v>4</v>
      </c>
      <c r="I746" s="95" t="s">
        <v>454</v>
      </c>
      <c r="J746" s="95" t="s">
        <v>19</v>
      </c>
      <c r="K746" s="95" t="b">
        <v>0</v>
      </c>
      <c r="L746" s="95">
        <v>10</v>
      </c>
      <c r="M746" s="96">
        <v>2035</v>
      </c>
      <c r="N746" s="97">
        <v>0</v>
      </c>
      <c r="O746" s="98">
        <v>46020</v>
      </c>
      <c r="P746" s="98">
        <v>46020</v>
      </c>
      <c r="Q746" s="99">
        <v>0</v>
      </c>
    </row>
    <row r="747" spans="1:17">
      <c r="A747" s="7">
        <v>2025</v>
      </c>
      <c r="B747" s="8" t="s">
        <v>434</v>
      </c>
      <c r="C747" s="94" t="s">
        <v>435</v>
      </c>
      <c r="D747" s="95">
        <v>3215062</v>
      </c>
      <c r="E747" s="95">
        <v>2</v>
      </c>
      <c r="F747" s="95"/>
      <c r="G747" s="95">
        <v>40000</v>
      </c>
      <c r="H747" s="95">
        <v>4</v>
      </c>
      <c r="I747" s="95" t="s">
        <v>454</v>
      </c>
      <c r="J747" s="95" t="s">
        <v>19</v>
      </c>
      <c r="K747" s="95" t="b">
        <v>0</v>
      </c>
      <c r="L747" s="95">
        <v>2</v>
      </c>
      <c r="M747" s="96">
        <v>2027</v>
      </c>
      <c r="N747" s="97">
        <v>0</v>
      </c>
      <c r="O747" s="98">
        <v>46020</v>
      </c>
      <c r="P747" s="98">
        <v>46020</v>
      </c>
      <c r="Q747" s="99">
        <v>0</v>
      </c>
    </row>
    <row r="748" spans="1:17">
      <c r="A748" s="7">
        <v>2025</v>
      </c>
      <c r="B748" s="8" t="s">
        <v>434</v>
      </c>
      <c r="C748" s="94" t="s">
        <v>435</v>
      </c>
      <c r="D748" s="95">
        <v>3215062</v>
      </c>
      <c r="E748" s="95">
        <v>2</v>
      </c>
      <c r="F748" s="95"/>
      <c r="G748" s="95">
        <v>40000</v>
      </c>
      <c r="H748" s="95">
        <v>4</v>
      </c>
      <c r="I748" s="95" t="s">
        <v>454</v>
      </c>
      <c r="J748" s="95" t="s">
        <v>19</v>
      </c>
      <c r="K748" s="95" t="b">
        <v>0</v>
      </c>
      <c r="L748" s="95">
        <v>3</v>
      </c>
      <c r="M748" s="96">
        <v>2028</v>
      </c>
      <c r="N748" s="97">
        <v>0</v>
      </c>
      <c r="O748" s="98">
        <v>46020</v>
      </c>
      <c r="P748" s="98">
        <v>46020</v>
      </c>
      <c r="Q748" s="99">
        <v>0</v>
      </c>
    </row>
    <row r="749" spans="1:17">
      <c r="A749" s="7">
        <v>2025</v>
      </c>
      <c r="B749" s="8" t="s">
        <v>434</v>
      </c>
      <c r="C749" s="94" t="s">
        <v>435</v>
      </c>
      <c r="D749" s="95">
        <v>3215062</v>
      </c>
      <c r="E749" s="95">
        <v>2</v>
      </c>
      <c r="F749" s="95"/>
      <c r="G749" s="95">
        <v>40000</v>
      </c>
      <c r="H749" s="95">
        <v>4</v>
      </c>
      <c r="I749" s="95" t="s">
        <v>454</v>
      </c>
      <c r="J749" s="95" t="s">
        <v>19</v>
      </c>
      <c r="K749" s="95" t="b">
        <v>0</v>
      </c>
      <c r="L749" s="95">
        <v>6</v>
      </c>
      <c r="M749" s="96">
        <v>2031</v>
      </c>
      <c r="N749" s="97">
        <v>0</v>
      </c>
      <c r="O749" s="98">
        <v>46020</v>
      </c>
      <c r="P749" s="98">
        <v>46020</v>
      </c>
      <c r="Q749" s="99">
        <v>0</v>
      </c>
    </row>
    <row r="750" spans="1:17">
      <c r="A750" s="7">
        <v>2025</v>
      </c>
      <c r="B750" s="8" t="s">
        <v>434</v>
      </c>
      <c r="C750" s="94" t="s">
        <v>435</v>
      </c>
      <c r="D750" s="95">
        <v>3215062</v>
      </c>
      <c r="E750" s="95">
        <v>2</v>
      </c>
      <c r="F750" s="95"/>
      <c r="G750" s="95">
        <v>40000</v>
      </c>
      <c r="H750" s="95">
        <v>4</v>
      </c>
      <c r="I750" s="95" t="s">
        <v>454</v>
      </c>
      <c r="J750" s="95" t="s">
        <v>19</v>
      </c>
      <c r="K750" s="95" t="b">
        <v>0</v>
      </c>
      <c r="L750" s="95">
        <v>12</v>
      </c>
      <c r="M750" s="96">
        <v>2037</v>
      </c>
      <c r="N750" s="97">
        <v>0</v>
      </c>
      <c r="O750" s="98">
        <v>46020</v>
      </c>
      <c r="P750" s="98">
        <v>46020</v>
      </c>
      <c r="Q750" s="99">
        <v>0</v>
      </c>
    </row>
    <row r="751" spans="1:17">
      <c r="A751" s="7">
        <v>2025</v>
      </c>
      <c r="B751" s="8" t="s">
        <v>434</v>
      </c>
      <c r="C751" s="94" t="s">
        <v>435</v>
      </c>
      <c r="D751" s="95">
        <v>3215062</v>
      </c>
      <c r="E751" s="95">
        <v>2</v>
      </c>
      <c r="F751" s="95"/>
      <c r="G751" s="95">
        <v>83100</v>
      </c>
      <c r="H751" s="95" t="s">
        <v>209</v>
      </c>
      <c r="I751" s="95"/>
      <c r="J751" s="95" t="s">
        <v>455</v>
      </c>
      <c r="K751" s="95" t="b">
        <v>0</v>
      </c>
      <c r="L751" s="95">
        <v>0</v>
      </c>
      <c r="M751" s="96">
        <v>2025</v>
      </c>
      <c r="N751" s="97">
        <v>0.2001</v>
      </c>
      <c r="O751" s="98">
        <v>46020</v>
      </c>
      <c r="P751" s="98">
        <v>46020</v>
      </c>
      <c r="Q751" s="99">
        <v>0</v>
      </c>
    </row>
    <row r="752" spans="1:17">
      <c r="A752" s="7">
        <v>2025</v>
      </c>
      <c r="B752" s="8" t="s">
        <v>434</v>
      </c>
      <c r="C752" s="94" t="s">
        <v>435</v>
      </c>
      <c r="D752" s="95">
        <v>3215062</v>
      </c>
      <c r="E752" s="95">
        <v>2</v>
      </c>
      <c r="F752" s="95"/>
      <c r="G752" s="95">
        <v>71000</v>
      </c>
      <c r="H752" s="95">
        <v>7.1</v>
      </c>
      <c r="I752" s="95" t="s">
        <v>453</v>
      </c>
      <c r="J752" s="95" t="s">
        <v>150</v>
      </c>
      <c r="K752" s="95" t="b">
        <v>0</v>
      </c>
      <c r="L752" s="95">
        <v>8</v>
      </c>
      <c r="M752" s="96">
        <v>2033</v>
      </c>
      <c r="N752" s="97">
        <v>1248300.92</v>
      </c>
      <c r="O752" s="98">
        <v>46020</v>
      </c>
      <c r="P752" s="98">
        <v>46020</v>
      </c>
      <c r="Q752" s="99">
        <v>0</v>
      </c>
    </row>
    <row r="753" spans="1:17">
      <c r="A753" s="7">
        <v>2025</v>
      </c>
      <c r="B753" s="8" t="s">
        <v>434</v>
      </c>
      <c r="C753" s="94" t="s">
        <v>435</v>
      </c>
      <c r="D753" s="95">
        <v>3215062</v>
      </c>
      <c r="E753" s="95">
        <v>2</v>
      </c>
      <c r="F753" s="95"/>
      <c r="G753" s="95">
        <v>71000</v>
      </c>
      <c r="H753" s="95">
        <v>7.1</v>
      </c>
      <c r="I753" s="95" t="s">
        <v>453</v>
      </c>
      <c r="J753" s="95" t="s">
        <v>150</v>
      </c>
      <c r="K753" s="95" t="b">
        <v>0</v>
      </c>
      <c r="L753" s="95">
        <v>0</v>
      </c>
      <c r="M753" s="96">
        <v>2025</v>
      </c>
      <c r="N753" s="97">
        <v>509531.89</v>
      </c>
      <c r="O753" s="98">
        <v>46020</v>
      </c>
      <c r="P753" s="98">
        <v>46020</v>
      </c>
      <c r="Q753" s="99">
        <v>0</v>
      </c>
    </row>
    <row r="754" spans="1:17">
      <c r="A754" s="7">
        <v>2025</v>
      </c>
      <c r="B754" s="8" t="s">
        <v>434</v>
      </c>
      <c r="C754" s="94" t="s">
        <v>435</v>
      </c>
      <c r="D754" s="95">
        <v>3215062</v>
      </c>
      <c r="E754" s="95">
        <v>2</v>
      </c>
      <c r="F754" s="95"/>
      <c r="G754" s="95">
        <v>83100</v>
      </c>
      <c r="H754" s="95" t="s">
        <v>209</v>
      </c>
      <c r="I754" s="95"/>
      <c r="J754" s="95" t="s">
        <v>455</v>
      </c>
      <c r="K754" s="95" t="b">
        <v>0</v>
      </c>
      <c r="L754" s="95">
        <v>7</v>
      </c>
      <c r="M754" s="96">
        <v>2032</v>
      </c>
      <c r="N754" s="97">
        <v>5.2999999999999999E-2</v>
      </c>
      <c r="O754" s="98">
        <v>46020</v>
      </c>
      <c r="P754" s="98">
        <v>46020</v>
      </c>
      <c r="Q754" s="99">
        <v>0</v>
      </c>
    </row>
    <row r="755" spans="1:17">
      <c r="A755" s="7">
        <v>2025</v>
      </c>
      <c r="B755" s="8" t="s">
        <v>434</v>
      </c>
      <c r="C755" s="94" t="s">
        <v>435</v>
      </c>
      <c r="D755" s="95">
        <v>3215062</v>
      </c>
      <c r="E755" s="95">
        <v>2</v>
      </c>
      <c r="F755" s="95"/>
      <c r="G755" s="95">
        <v>83100</v>
      </c>
      <c r="H755" s="95" t="s">
        <v>209</v>
      </c>
      <c r="I755" s="95"/>
      <c r="J755" s="95" t="s">
        <v>455</v>
      </c>
      <c r="K755" s="95" t="b">
        <v>0</v>
      </c>
      <c r="L755" s="95">
        <v>6</v>
      </c>
      <c r="M755" s="96">
        <v>2031</v>
      </c>
      <c r="N755" s="97">
        <v>6.6600000000000006E-2</v>
      </c>
      <c r="O755" s="98">
        <v>46020</v>
      </c>
      <c r="P755" s="98">
        <v>46020</v>
      </c>
      <c r="Q755" s="99">
        <v>0</v>
      </c>
    </row>
    <row r="756" spans="1:17">
      <c r="A756" s="7">
        <v>2025</v>
      </c>
      <c r="B756" s="8" t="s">
        <v>434</v>
      </c>
      <c r="C756" s="94" t="s">
        <v>435</v>
      </c>
      <c r="D756" s="95">
        <v>3215062</v>
      </c>
      <c r="E756" s="95">
        <v>2</v>
      </c>
      <c r="F756" s="95"/>
      <c r="G756" s="95">
        <v>83100</v>
      </c>
      <c r="H756" s="95" t="s">
        <v>209</v>
      </c>
      <c r="I756" s="95"/>
      <c r="J756" s="95" t="s">
        <v>455</v>
      </c>
      <c r="K756" s="95" t="b">
        <v>0</v>
      </c>
      <c r="L756" s="95">
        <v>2</v>
      </c>
      <c r="M756" s="96">
        <v>2027</v>
      </c>
      <c r="N756" s="97">
        <v>0.18379999999999999</v>
      </c>
      <c r="O756" s="98">
        <v>46020</v>
      </c>
      <c r="P756" s="98">
        <v>46020</v>
      </c>
      <c r="Q756" s="99">
        <v>0</v>
      </c>
    </row>
    <row r="757" spans="1:17">
      <c r="A757" s="7">
        <v>2025</v>
      </c>
      <c r="B757" s="8" t="s">
        <v>434</v>
      </c>
      <c r="C757" s="94" t="s">
        <v>435</v>
      </c>
      <c r="D757" s="95">
        <v>3215062</v>
      </c>
      <c r="E757" s="95">
        <v>2</v>
      </c>
      <c r="F757" s="95"/>
      <c r="G757" s="95">
        <v>83100</v>
      </c>
      <c r="H757" s="95" t="s">
        <v>209</v>
      </c>
      <c r="I757" s="95"/>
      <c r="J757" s="95" t="s">
        <v>455</v>
      </c>
      <c r="K757" s="95" t="b">
        <v>0</v>
      </c>
      <c r="L757" s="95">
        <v>12</v>
      </c>
      <c r="M757" s="96">
        <v>2037</v>
      </c>
      <c r="N757" s="97">
        <v>2.5100000000000001E-2</v>
      </c>
      <c r="O757" s="98">
        <v>46020</v>
      </c>
      <c r="P757" s="98">
        <v>46020</v>
      </c>
      <c r="Q757" s="99">
        <v>0</v>
      </c>
    </row>
    <row r="758" spans="1:17">
      <c r="A758" s="7">
        <v>2025</v>
      </c>
      <c r="B758" s="8" t="s">
        <v>434</v>
      </c>
      <c r="C758" s="94" t="s">
        <v>435</v>
      </c>
      <c r="D758" s="95">
        <v>3215062</v>
      </c>
      <c r="E758" s="95">
        <v>2</v>
      </c>
      <c r="F758" s="95"/>
      <c r="G758" s="95">
        <v>83100</v>
      </c>
      <c r="H758" s="95" t="s">
        <v>209</v>
      </c>
      <c r="I758" s="95"/>
      <c r="J758" s="95" t="s">
        <v>455</v>
      </c>
      <c r="K758" s="95" t="b">
        <v>0</v>
      </c>
      <c r="L758" s="95">
        <v>1</v>
      </c>
      <c r="M758" s="96">
        <v>2026</v>
      </c>
      <c r="N758" s="97">
        <v>0.16919999999999999</v>
      </c>
      <c r="O758" s="98">
        <v>46020</v>
      </c>
      <c r="P758" s="98">
        <v>46020</v>
      </c>
      <c r="Q758" s="99">
        <v>0</v>
      </c>
    </row>
    <row r="759" spans="1:17">
      <c r="A759" s="7">
        <v>2025</v>
      </c>
      <c r="B759" s="8" t="s">
        <v>434</v>
      </c>
      <c r="C759" s="94" t="s">
        <v>435</v>
      </c>
      <c r="D759" s="95">
        <v>3215062</v>
      </c>
      <c r="E759" s="95">
        <v>2</v>
      </c>
      <c r="F759" s="95"/>
      <c r="G759" s="95">
        <v>83100</v>
      </c>
      <c r="H759" s="95" t="s">
        <v>209</v>
      </c>
      <c r="I759" s="95"/>
      <c r="J759" s="95" t="s">
        <v>455</v>
      </c>
      <c r="K759" s="95" t="b">
        <v>0</v>
      </c>
      <c r="L759" s="95">
        <v>13</v>
      </c>
      <c r="M759" s="96">
        <v>2038</v>
      </c>
      <c r="N759" s="97">
        <v>2.5600000000000001E-2</v>
      </c>
      <c r="O759" s="98">
        <v>46020</v>
      </c>
      <c r="P759" s="98">
        <v>46020</v>
      </c>
      <c r="Q759" s="99">
        <v>0</v>
      </c>
    </row>
    <row r="760" spans="1:17">
      <c r="A760" s="7">
        <v>2025</v>
      </c>
      <c r="B760" s="8" t="s">
        <v>434</v>
      </c>
      <c r="C760" s="94" t="s">
        <v>435</v>
      </c>
      <c r="D760" s="95">
        <v>3215062</v>
      </c>
      <c r="E760" s="95">
        <v>2</v>
      </c>
      <c r="F760" s="95"/>
      <c r="G760" s="95">
        <v>83100</v>
      </c>
      <c r="H760" s="95" t="s">
        <v>209</v>
      </c>
      <c r="I760" s="95"/>
      <c r="J760" s="95" t="s">
        <v>455</v>
      </c>
      <c r="K760" s="95" t="b">
        <v>0</v>
      </c>
      <c r="L760" s="95">
        <v>4</v>
      </c>
      <c r="M760" s="96">
        <v>2029</v>
      </c>
      <c r="N760" s="97">
        <v>0.1409</v>
      </c>
      <c r="O760" s="98">
        <v>46020</v>
      </c>
      <c r="P760" s="98">
        <v>46020</v>
      </c>
      <c r="Q760" s="99">
        <v>0</v>
      </c>
    </row>
    <row r="761" spans="1:17">
      <c r="A761" s="7">
        <v>2025</v>
      </c>
      <c r="B761" s="8" t="s">
        <v>434</v>
      </c>
      <c r="C761" s="94" t="s">
        <v>435</v>
      </c>
      <c r="D761" s="95">
        <v>3215062</v>
      </c>
      <c r="E761" s="95">
        <v>2</v>
      </c>
      <c r="F761" s="95"/>
      <c r="G761" s="95">
        <v>83100</v>
      </c>
      <c r="H761" s="95" t="s">
        <v>209</v>
      </c>
      <c r="I761" s="95"/>
      <c r="J761" s="95" t="s">
        <v>455</v>
      </c>
      <c r="K761" s="95" t="b">
        <v>0</v>
      </c>
      <c r="L761" s="95">
        <v>9</v>
      </c>
      <c r="M761" s="96">
        <v>2034</v>
      </c>
      <c r="N761" s="97">
        <v>3.15E-2</v>
      </c>
      <c r="O761" s="98">
        <v>46020</v>
      </c>
      <c r="P761" s="98">
        <v>46020</v>
      </c>
      <c r="Q761" s="99">
        <v>0</v>
      </c>
    </row>
    <row r="762" spans="1:17">
      <c r="A762" s="7">
        <v>2025</v>
      </c>
      <c r="B762" s="8" t="s">
        <v>434</v>
      </c>
      <c r="C762" s="94" t="s">
        <v>435</v>
      </c>
      <c r="D762" s="95">
        <v>3215062</v>
      </c>
      <c r="E762" s="95">
        <v>2</v>
      </c>
      <c r="F762" s="95"/>
      <c r="G762" s="95">
        <v>83100</v>
      </c>
      <c r="H762" s="95" t="s">
        <v>209</v>
      </c>
      <c r="I762" s="95"/>
      <c r="J762" s="95" t="s">
        <v>455</v>
      </c>
      <c r="K762" s="95" t="b">
        <v>0</v>
      </c>
      <c r="L762" s="95">
        <v>5</v>
      </c>
      <c r="M762" s="96">
        <v>2030</v>
      </c>
      <c r="N762" s="97">
        <v>0.1051</v>
      </c>
      <c r="O762" s="98">
        <v>46020</v>
      </c>
      <c r="P762" s="98">
        <v>46020</v>
      </c>
      <c r="Q762" s="99">
        <v>0</v>
      </c>
    </row>
    <row r="763" spans="1:17">
      <c r="A763" s="7">
        <v>2025</v>
      </c>
      <c r="B763" s="8" t="s">
        <v>434</v>
      </c>
      <c r="C763" s="94" t="s">
        <v>435</v>
      </c>
      <c r="D763" s="95">
        <v>3215062</v>
      </c>
      <c r="E763" s="95">
        <v>2</v>
      </c>
      <c r="F763" s="95"/>
      <c r="G763" s="95">
        <v>83100</v>
      </c>
      <c r="H763" s="95" t="s">
        <v>209</v>
      </c>
      <c r="I763" s="95"/>
      <c r="J763" s="95" t="s">
        <v>455</v>
      </c>
      <c r="K763" s="95" t="b">
        <v>0</v>
      </c>
      <c r="L763" s="95">
        <v>10</v>
      </c>
      <c r="M763" s="96">
        <v>2035</v>
      </c>
      <c r="N763" s="97">
        <v>2.46E-2</v>
      </c>
      <c r="O763" s="98">
        <v>46020</v>
      </c>
      <c r="P763" s="98">
        <v>46020</v>
      </c>
      <c r="Q763" s="99">
        <v>0</v>
      </c>
    </row>
    <row r="764" spans="1:17">
      <c r="A764" s="7">
        <v>2025</v>
      </c>
      <c r="B764" s="8" t="s">
        <v>434</v>
      </c>
      <c r="C764" s="94" t="s">
        <v>435</v>
      </c>
      <c r="D764" s="95">
        <v>3215062</v>
      </c>
      <c r="E764" s="95">
        <v>2</v>
      </c>
      <c r="F764" s="95"/>
      <c r="G764" s="95">
        <v>71000</v>
      </c>
      <c r="H764" s="95">
        <v>7.1</v>
      </c>
      <c r="I764" s="95" t="s">
        <v>453</v>
      </c>
      <c r="J764" s="95" t="s">
        <v>150</v>
      </c>
      <c r="K764" s="95" t="b">
        <v>0</v>
      </c>
      <c r="L764" s="95">
        <v>1</v>
      </c>
      <c r="M764" s="96">
        <v>2026</v>
      </c>
      <c r="N764" s="97">
        <v>5466035.5999999996</v>
      </c>
      <c r="O764" s="98">
        <v>46020</v>
      </c>
      <c r="P764" s="98">
        <v>46020</v>
      </c>
      <c r="Q764" s="99">
        <v>0</v>
      </c>
    </row>
    <row r="765" spans="1:17">
      <c r="A765" s="7">
        <v>2025</v>
      </c>
      <c r="B765" s="8" t="s">
        <v>434</v>
      </c>
      <c r="C765" s="94" t="s">
        <v>435</v>
      </c>
      <c r="D765" s="95">
        <v>3215062</v>
      </c>
      <c r="E765" s="95">
        <v>2</v>
      </c>
      <c r="F765" s="95"/>
      <c r="G765" s="95">
        <v>71000</v>
      </c>
      <c r="H765" s="95">
        <v>7.1</v>
      </c>
      <c r="I765" s="95" t="s">
        <v>453</v>
      </c>
      <c r="J765" s="95" t="s">
        <v>150</v>
      </c>
      <c r="K765" s="95" t="b">
        <v>0</v>
      </c>
      <c r="L765" s="95">
        <v>11</v>
      </c>
      <c r="M765" s="96">
        <v>2036</v>
      </c>
      <c r="N765" s="97">
        <v>1625228</v>
      </c>
      <c r="O765" s="98">
        <v>46020</v>
      </c>
      <c r="P765" s="98">
        <v>46020</v>
      </c>
      <c r="Q765" s="99">
        <v>0</v>
      </c>
    </row>
    <row r="766" spans="1:17">
      <c r="A766" s="7">
        <v>2025</v>
      </c>
      <c r="B766" s="8" t="s">
        <v>434</v>
      </c>
      <c r="C766" s="94" t="s">
        <v>435</v>
      </c>
      <c r="D766" s="95">
        <v>3215062</v>
      </c>
      <c r="E766" s="95">
        <v>2</v>
      </c>
      <c r="F766" s="95"/>
      <c r="G766" s="95">
        <v>83100</v>
      </c>
      <c r="H766" s="95" t="s">
        <v>209</v>
      </c>
      <c r="I766" s="95"/>
      <c r="J766" s="95" t="s">
        <v>455</v>
      </c>
      <c r="K766" s="95" t="b">
        <v>0</v>
      </c>
      <c r="L766" s="95">
        <v>8</v>
      </c>
      <c r="M766" s="96">
        <v>2033</v>
      </c>
      <c r="N766" s="97">
        <v>5.4300000000000001E-2</v>
      </c>
      <c r="O766" s="98">
        <v>46020</v>
      </c>
      <c r="P766" s="98">
        <v>46020</v>
      </c>
      <c r="Q766" s="99">
        <v>0</v>
      </c>
    </row>
    <row r="767" spans="1:17">
      <c r="A767" s="7">
        <v>2025</v>
      </c>
      <c r="B767" s="8" t="s">
        <v>434</v>
      </c>
      <c r="C767" s="94" t="s">
        <v>435</v>
      </c>
      <c r="D767" s="95">
        <v>3215062</v>
      </c>
      <c r="E767" s="95">
        <v>2</v>
      </c>
      <c r="F767" s="95"/>
      <c r="G767" s="95">
        <v>83100</v>
      </c>
      <c r="H767" s="95" t="s">
        <v>209</v>
      </c>
      <c r="I767" s="95"/>
      <c r="J767" s="95" t="s">
        <v>455</v>
      </c>
      <c r="K767" s="95" t="b">
        <v>0</v>
      </c>
      <c r="L767" s="95">
        <v>11</v>
      </c>
      <c r="M767" s="96">
        <v>2036</v>
      </c>
      <c r="N767" s="97">
        <v>2.5100000000000001E-2</v>
      </c>
      <c r="O767" s="98">
        <v>46020</v>
      </c>
      <c r="P767" s="98">
        <v>46020</v>
      </c>
      <c r="Q767" s="99">
        <v>0</v>
      </c>
    </row>
    <row r="768" spans="1:17">
      <c r="A768" s="7">
        <v>2025</v>
      </c>
      <c r="B768" s="8" t="s">
        <v>434</v>
      </c>
      <c r="C768" s="94" t="s">
        <v>435</v>
      </c>
      <c r="D768" s="95">
        <v>3215062</v>
      </c>
      <c r="E768" s="95">
        <v>2</v>
      </c>
      <c r="F768" s="95"/>
      <c r="G768" s="95">
        <v>83100</v>
      </c>
      <c r="H768" s="95" t="s">
        <v>209</v>
      </c>
      <c r="I768" s="95"/>
      <c r="J768" s="95" t="s">
        <v>455</v>
      </c>
      <c r="K768" s="95" t="b">
        <v>0</v>
      </c>
      <c r="L768" s="95">
        <v>3</v>
      </c>
      <c r="M768" s="96">
        <v>2028</v>
      </c>
      <c r="N768" s="97">
        <v>0.1686</v>
      </c>
      <c r="O768" s="98">
        <v>46020</v>
      </c>
      <c r="P768" s="98">
        <v>46020</v>
      </c>
      <c r="Q768" s="99">
        <v>0</v>
      </c>
    </row>
    <row r="769" spans="1:17">
      <c r="A769" s="7">
        <v>2025</v>
      </c>
      <c r="B769" s="8" t="s">
        <v>434</v>
      </c>
      <c r="C769" s="94" t="s">
        <v>435</v>
      </c>
      <c r="D769" s="95">
        <v>3215062</v>
      </c>
      <c r="E769" s="95">
        <v>2</v>
      </c>
      <c r="F769" s="95"/>
      <c r="G769" s="95">
        <v>83000</v>
      </c>
      <c r="H769" s="95">
        <v>8.3000000000000007</v>
      </c>
      <c r="I769" s="95"/>
      <c r="J769" s="95" t="s">
        <v>456</v>
      </c>
      <c r="K769" s="95" t="b">
        <v>1</v>
      </c>
      <c r="L769" s="95">
        <v>11</v>
      </c>
      <c r="M769" s="96">
        <v>2036</v>
      </c>
      <c r="N769" s="97">
        <v>2.5100000000000001E-2</v>
      </c>
      <c r="O769" s="98">
        <v>46020</v>
      </c>
      <c r="P769" s="98">
        <v>46020</v>
      </c>
      <c r="Q769" s="99">
        <v>0</v>
      </c>
    </row>
    <row r="770" spans="1:17">
      <c r="A770" s="7">
        <v>2025</v>
      </c>
      <c r="B770" s="8" t="s">
        <v>434</v>
      </c>
      <c r="C770" s="94" t="s">
        <v>435</v>
      </c>
      <c r="D770" s="95">
        <v>3215062</v>
      </c>
      <c r="E770" s="95">
        <v>2</v>
      </c>
      <c r="F770" s="95"/>
      <c r="G770" s="95">
        <v>83000</v>
      </c>
      <c r="H770" s="95">
        <v>8.3000000000000007</v>
      </c>
      <c r="I770" s="95"/>
      <c r="J770" s="95" t="s">
        <v>456</v>
      </c>
      <c r="K770" s="95" t="b">
        <v>1</v>
      </c>
      <c r="L770" s="95">
        <v>1</v>
      </c>
      <c r="M770" s="96">
        <v>2026</v>
      </c>
      <c r="N770" s="97">
        <v>0.1512</v>
      </c>
      <c r="O770" s="98">
        <v>46020</v>
      </c>
      <c r="P770" s="98">
        <v>46020</v>
      </c>
      <c r="Q770" s="99">
        <v>0</v>
      </c>
    </row>
    <row r="771" spans="1:17">
      <c r="A771" s="7">
        <v>2025</v>
      </c>
      <c r="B771" s="8" t="s">
        <v>434</v>
      </c>
      <c r="C771" s="94" t="s">
        <v>435</v>
      </c>
      <c r="D771" s="95">
        <v>3215062</v>
      </c>
      <c r="E771" s="95">
        <v>2</v>
      </c>
      <c r="F771" s="95"/>
      <c r="G771" s="95">
        <v>83000</v>
      </c>
      <c r="H771" s="95">
        <v>8.3000000000000007</v>
      </c>
      <c r="I771" s="95"/>
      <c r="J771" s="95" t="s">
        <v>456</v>
      </c>
      <c r="K771" s="95" t="b">
        <v>1</v>
      </c>
      <c r="L771" s="95">
        <v>5</v>
      </c>
      <c r="M771" s="96">
        <v>2030</v>
      </c>
      <c r="N771" s="97">
        <v>8.7099999999999997E-2</v>
      </c>
      <c r="O771" s="98">
        <v>46020</v>
      </c>
      <c r="P771" s="98">
        <v>46020</v>
      </c>
      <c r="Q771" s="99">
        <v>0</v>
      </c>
    </row>
    <row r="772" spans="1:17">
      <c r="A772" s="7">
        <v>2025</v>
      </c>
      <c r="B772" s="8" t="s">
        <v>434</v>
      </c>
      <c r="C772" s="94" t="s">
        <v>435</v>
      </c>
      <c r="D772" s="95">
        <v>3215062</v>
      </c>
      <c r="E772" s="95">
        <v>2</v>
      </c>
      <c r="F772" s="95"/>
      <c r="G772" s="95">
        <v>83000</v>
      </c>
      <c r="H772" s="95">
        <v>8.3000000000000007</v>
      </c>
      <c r="I772" s="95"/>
      <c r="J772" s="95" t="s">
        <v>456</v>
      </c>
      <c r="K772" s="95" t="b">
        <v>1</v>
      </c>
      <c r="L772" s="95">
        <v>7</v>
      </c>
      <c r="M772" s="96">
        <v>2032</v>
      </c>
      <c r="N772" s="97">
        <v>5.2999999999999999E-2</v>
      </c>
      <c r="O772" s="98">
        <v>46020</v>
      </c>
      <c r="P772" s="98">
        <v>46020</v>
      </c>
      <c r="Q772" s="99">
        <v>0</v>
      </c>
    </row>
    <row r="773" spans="1:17">
      <c r="A773" s="7">
        <v>2025</v>
      </c>
      <c r="B773" s="8" t="s">
        <v>434</v>
      </c>
      <c r="C773" s="94" t="s">
        <v>435</v>
      </c>
      <c r="D773" s="95">
        <v>3215062</v>
      </c>
      <c r="E773" s="95">
        <v>2</v>
      </c>
      <c r="F773" s="95"/>
      <c r="G773" s="95">
        <v>83000</v>
      </c>
      <c r="H773" s="95">
        <v>8.3000000000000007</v>
      </c>
      <c r="I773" s="95"/>
      <c r="J773" s="95" t="s">
        <v>456</v>
      </c>
      <c r="K773" s="95" t="b">
        <v>1</v>
      </c>
      <c r="L773" s="95">
        <v>9</v>
      </c>
      <c r="M773" s="96">
        <v>2034</v>
      </c>
      <c r="N773" s="97">
        <v>3.15E-2</v>
      </c>
      <c r="O773" s="98">
        <v>46020</v>
      </c>
      <c r="P773" s="98">
        <v>46020</v>
      </c>
      <c r="Q773" s="99">
        <v>0</v>
      </c>
    </row>
    <row r="774" spans="1:17">
      <c r="A774" s="7">
        <v>2025</v>
      </c>
      <c r="B774" s="8" t="s">
        <v>434</v>
      </c>
      <c r="C774" s="94" t="s">
        <v>435</v>
      </c>
      <c r="D774" s="95">
        <v>3215062</v>
      </c>
      <c r="E774" s="95">
        <v>2</v>
      </c>
      <c r="F774" s="95"/>
      <c r="G774" s="95">
        <v>83000</v>
      </c>
      <c r="H774" s="95">
        <v>8.3000000000000007</v>
      </c>
      <c r="I774" s="95"/>
      <c r="J774" s="95" t="s">
        <v>456</v>
      </c>
      <c r="K774" s="95" t="b">
        <v>1</v>
      </c>
      <c r="L774" s="95">
        <v>12</v>
      </c>
      <c r="M774" s="96">
        <v>2037</v>
      </c>
      <c r="N774" s="97">
        <v>2.5100000000000001E-2</v>
      </c>
      <c r="O774" s="98">
        <v>46020</v>
      </c>
      <c r="P774" s="98">
        <v>46020</v>
      </c>
      <c r="Q774" s="99">
        <v>0</v>
      </c>
    </row>
    <row r="775" spans="1:17">
      <c r="A775" s="7">
        <v>2025</v>
      </c>
      <c r="B775" s="8" t="s">
        <v>434</v>
      </c>
      <c r="C775" s="94" t="s">
        <v>435</v>
      </c>
      <c r="D775" s="95">
        <v>3215062</v>
      </c>
      <c r="E775" s="95">
        <v>2</v>
      </c>
      <c r="F775" s="95"/>
      <c r="G775" s="95">
        <v>83000</v>
      </c>
      <c r="H775" s="95">
        <v>8.3000000000000007</v>
      </c>
      <c r="I775" s="95"/>
      <c r="J775" s="95" t="s">
        <v>456</v>
      </c>
      <c r="K775" s="95" t="b">
        <v>1</v>
      </c>
      <c r="L775" s="95">
        <v>4</v>
      </c>
      <c r="M775" s="96">
        <v>2029</v>
      </c>
      <c r="N775" s="97">
        <v>0.123</v>
      </c>
      <c r="O775" s="98">
        <v>46020</v>
      </c>
      <c r="P775" s="98">
        <v>46020</v>
      </c>
      <c r="Q775" s="99">
        <v>0</v>
      </c>
    </row>
    <row r="776" spans="1:17">
      <c r="A776" s="7">
        <v>2025</v>
      </c>
      <c r="B776" s="8" t="s">
        <v>434</v>
      </c>
      <c r="C776" s="94" t="s">
        <v>435</v>
      </c>
      <c r="D776" s="95">
        <v>3215062</v>
      </c>
      <c r="E776" s="95">
        <v>2</v>
      </c>
      <c r="F776" s="95"/>
      <c r="G776" s="95">
        <v>71000</v>
      </c>
      <c r="H776" s="95">
        <v>7.1</v>
      </c>
      <c r="I776" s="95" t="s">
        <v>453</v>
      </c>
      <c r="J776" s="95" t="s">
        <v>150</v>
      </c>
      <c r="K776" s="95" t="b">
        <v>0</v>
      </c>
      <c r="L776" s="95">
        <v>5</v>
      </c>
      <c r="M776" s="96">
        <v>2030</v>
      </c>
      <c r="N776" s="97">
        <v>1252448.6000000001</v>
      </c>
      <c r="O776" s="98">
        <v>46020</v>
      </c>
      <c r="P776" s="98">
        <v>46020</v>
      </c>
      <c r="Q776" s="99">
        <v>0</v>
      </c>
    </row>
    <row r="777" spans="1:17">
      <c r="A777" s="7">
        <v>2025</v>
      </c>
      <c r="B777" s="8" t="s">
        <v>434</v>
      </c>
      <c r="C777" s="94" t="s">
        <v>435</v>
      </c>
      <c r="D777" s="95">
        <v>3215062</v>
      </c>
      <c r="E777" s="95">
        <v>2</v>
      </c>
      <c r="F777" s="95"/>
      <c r="G777" s="95">
        <v>83000</v>
      </c>
      <c r="H777" s="95">
        <v>8.3000000000000007</v>
      </c>
      <c r="I777" s="95"/>
      <c r="J777" s="95" t="s">
        <v>456</v>
      </c>
      <c r="K777" s="95" t="b">
        <v>1</v>
      </c>
      <c r="L777" s="95">
        <v>6</v>
      </c>
      <c r="M777" s="96">
        <v>2031</v>
      </c>
      <c r="N777" s="97">
        <v>4.87E-2</v>
      </c>
      <c r="O777" s="98">
        <v>46020</v>
      </c>
      <c r="P777" s="98">
        <v>46020</v>
      </c>
      <c r="Q777" s="99">
        <v>0</v>
      </c>
    </row>
    <row r="778" spans="1:17">
      <c r="A778" s="7">
        <v>2025</v>
      </c>
      <c r="B778" s="8" t="s">
        <v>434</v>
      </c>
      <c r="C778" s="94" t="s">
        <v>435</v>
      </c>
      <c r="D778" s="95">
        <v>3215062</v>
      </c>
      <c r="E778" s="95">
        <v>2</v>
      </c>
      <c r="F778" s="95"/>
      <c r="G778" s="95">
        <v>83000</v>
      </c>
      <c r="H778" s="95">
        <v>8.3000000000000007</v>
      </c>
      <c r="I778" s="95"/>
      <c r="J778" s="95" t="s">
        <v>456</v>
      </c>
      <c r="K778" s="95" t="b">
        <v>1</v>
      </c>
      <c r="L778" s="95">
        <v>10</v>
      </c>
      <c r="M778" s="96">
        <v>2035</v>
      </c>
      <c r="N778" s="97">
        <v>2.46E-2</v>
      </c>
      <c r="O778" s="98">
        <v>46020</v>
      </c>
      <c r="P778" s="98">
        <v>46020</v>
      </c>
      <c r="Q778" s="99">
        <v>0</v>
      </c>
    </row>
    <row r="779" spans="1:17">
      <c r="A779" s="7">
        <v>2025</v>
      </c>
      <c r="B779" s="8" t="s">
        <v>434</v>
      </c>
      <c r="C779" s="94" t="s">
        <v>435</v>
      </c>
      <c r="D779" s="95">
        <v>3215062</v>
      </c>
      <c r="E779" s="95">
        <v>2</v>
      </c>
      <c r="F779" s="95"/>
      <c r="G779" s="95">
        <v>83000</v>
      </c>
      <c r="H779" s="95">
        <v>8.3000000000000007</v>
      </c>
      <c r="I779" s="95"/>
      <c r="J779" s="95" t="s">
        <v>456</v>
      </c>
      <c r="K779" s="95" t="b">
        <v>1</v>
      </c>
      <c r="L779" s="95">
        <v>2</v>
      </c>
      <c r="M779" s="96">
        <v>2027</v>
      </c>
      <c r="N779" s="97">
        <v>0.1658</v>
      </c>
      <c r="O779" s="98">
        <v>46020</v>
      </c>
      <c r="P779" s="98">
        <v>46020</v>
      </c>
      <c r="Q779" s="99">
        <v>0</v>
      </c>
    </row>
    <row r="780" spans="1:17">
      <c r="A780" s="7">
        <v>2025</v>
      </c>
      <c r="B780" s="8" t="s">
        <v>434</v>
      </c>
      <c r="C780" s="94" t="s">
        <v>435</v>
      </c>
      <c r="D780" s="95">
        <v>3215062</v>
      </c>
      <c r="E780" s="95">
        <v>2</v>
      </c>
      <c r="F780" s="95"/>
      <c r="G780" s="95">
        <v>83000</v>
      </c>
      <c r="H780" s="95">
        <v>8.3000000000000007</v>
      </c>
      <c r="I780" s="95"/>
      <c r="J780" s="95" t="s">
        <v>456</v>
      </c>
      <c r="K780" s="95" t="b">
        <v>1</v>
      </c>
      <c r="L780" s="95">
        <v>13</v>
      </c>
      <c r="M780" s="96">
        <v>2038</v>
      </c>
      <c r="N780" s="97">
        <v>2.5600000000000001E-2</v>
      </c>
      <c r="O780" s="98">
        <v>46020</v>
      </c>
      <c r="P780" s="98">
        <v>46020</v>
      </c>
      <c r="Q780" s="99">
        <v>0</v>
      </c>
    </row>
    <row r="781" spans="1:17">
      <c r="A781" s="7">
        <v>2025</v>
      </c>
      <c r="B781" s="8" t="s">
        <v>434</v>
      </c>
      <c r="C781" s="94" t="s">
        <v>435</v>
      </c>
      <c r="D781" s="95">
        <v>3215062</v>
      </c>
      <c r="E781" s="95">
        <v>2</v>
      </c>
      <c r="F781" s="95"/>
      <c r="G781" s="95">
        <v>83000</v>
      </c>
      <c r="H781" s="95">
        <v>8.3000000000000007</v>
      </c>
      <c r="I781" s="95"/>
      <c r="J781" s="95" t="s">
        <v>456</v>
      </c>
      <c r="K781" s="95" t="b">
        <v>1</v>
      </c>
      <c r="L781" s="95">
        <v>8</v>
      </c>
      <c r="M781" s="96">
        <v>2033</v>
      </c>
      <c r="N781" s="97">
        <v>5.4300000000000001E-2</v>
      </c>
      <c r="O781" s="98">
        <v>46020</v>
      </c>
      <c r="P781" s="98">
        <v>46020</v>
      </c>
      <c r="Q781" s="99">
        <v>0</v>
      </c>
    </row>
    <row r="782" spans="1:17">
      <c r="A782" s="7">
        <v>2025</v>
      </c>
      <c r="B782" s="8" t="s">
        <v>434</v>
      </c>
      <c r="C782" s="94" t="s">
        <v>435</v>
      </c>
      <c r="D782" s="95">
        <v>3215062</v>
      </c>
      <c r="E782" s="95">
        <v>2</v>
      </c>
      <c r="F782" s="95"/>
      <c r="G782" s="95">
        <v>83000</v>
      </c>
      <c r="H782" s="95">
        <v>8.3000000000000007</v>
      </c>
      <c r="I782" s="95"/>
      <c r="J782" s="95" t="s">
        <v>456</v>
      </c>
      <c r="K782" s="95" t="b">
        <v>1</v>
      </c>
      <c r="L782" s="95">
        <v>3</v>
      </c>
      <c r="M782" s="96">
        <v>2028</v>
      </c>
      <c r="N782" s="97">
        <v>0.15060000000000001</v>
      </c>
      <c r="O782" s="98">
        <v>46020</v>
      </c>
      <c r="P782" s="98">
        <v>46020</v>
      </c>
      <c r="Q782" s="99">
        <v>0</v>
      </c>
    </row>
    <row r="783" spans="1:17">
      <c r="A783" s="7">
        <v>2025</v>
      </c>
      <c r="B783" s="8" t="s">
        <v>434</v>
      </c>
      <c r="C783" s="94" t="s">
        <v>435</v>
      </c>
      <c r="D783" s="95">
        <v>3215062</v>
      </c>
      <c r="E783" s="95">
        <v>2</v>
      </c>
      <c r="F783" s="95"/>
      <c r="G783" s="95">
        <v>83000</v>
      </c>
      <c r="H783" s="95">
        <v>8.3000000000000007</v>
      </c>
      <c r="I783" s="95"/>
      <c r="J783" s="95" t="s">
        <v>456</v>
      </c>
      <c r="K783" s="95" t="b">
        <v>1</v>
      </c>
      <c r="L783" s="95">
        <v>0</v>
      </c>
      <c r="M783" s="96">
        <v>2025</v>
      </c>
      <c r="N783" s="97">
        <v>0.18210000000000001</v>
      </c>
      <c r="O783" s="98">
        <v>46020</v>
      </c>
      <c r="P783" s="98">
        <v>46020</v>
      </c>
      <c r="Q783" s="99">
        <v>0</v>
      </c>
    </row>
    <row r="784" spans="1:17">
      <c r="A784" s="7">
        <v>2025</v>
      </c>
      <c r="B784" s="8" t="s">
        <v>434</v>
      </c>
      <c r="C784" s="94" t="s">
        <v>435</v>
      </c>
      <c r="D784" s="95">
        <v>3215062</v>
      </c>
      <c r="E784" s="95">
        <v>2</v>
      </c>
      <c r="F784" s="95"/>
      <c r="G784" s="95">
        <v>109100</v>
      </c>
      <c r="H784" s="95">
        <v>10.1</v>
      </c>
      <c r="I784" s="95"/>
      <c r="J784" s="95" t="s">
        <v>457</v>
      </c>
      <c r="K784" s="95" t="b">
        <v>1</v>
      </c>
      <c r="L784" s="95">
        <v>3</v>
      </c>
      <c r="M784" s="96">
        <v>2028</v>
      </c>
      <c r="N784" s="97">
        <v>0</v>
      </c>
      <c r="O784" s="98">
        <v>46020</v>
      </c>
      <c r="P784" s="98">
        <v>46020</v>
      </c>
      <c r="Q784" s="99">
        <v>0</v>
      </c>
    </row>
    <row r="785" spans="1:17">
      <c r="A785" s="7">
        <v>2025</v>
      </c>
      <c r="B785" s="8" t="s">
        <v>434</v>
      </c>
      <c r="C785" s="94" t="s">
        <v>435</v>
      </c>
      <c r="D785" s="95">
        <v>3215062</v>
      </c>
      <c r="E785" s="95">
        <v>2</v>
      </c>
      <c r="F785" s="95"/>
      <c r="G785" s="95">
        <v>109100</v>
      </c>
      <c r="H785" s="95">
        <v>10.1</v>
      </c>
      <c r="I785" s="95"/>
      <c r="J785" s="95" t="s">
        <v>457</v>
      </c>
      <c r="K785" s="95" t="b">
        <v>1</v>
      </c>
      <c r="L785" s="95">
        <v>5</v>
      </c>
      <c r="M785" s="96">
        <v>2030</v>
      </c>
      <c r="N785" s="97">
        <v>0</v>
      </c>
      <c r="O785" s="98">
        <v>46020</v>
      </c>
      <c r="P785" s="98">
        <v>46020</v>
      </c>
      <c r="Q785" s="99">
        <v>0</v>
      </c>
    </row>
    <row r="786" spans="1:17">
      <c r="A786" s="7">
        <v>2025</v>
      </c>
      <c r="B786" s="8" t="s">
        <v>434</v>
      </c>
      <c r="C786" s="94" t="s">
        <v>435</v>
      </c>
      <c r="D786" s="95">
        <v>3215062</v>
      </c>
      <c r="E786" s="95">
        <v>2</v>
      </c>
      <c r="F786" s="95"/>
      <c r="G786" s="95">
        <v>109100</v>
      </c>
      <c r="H786" s="95">
        <v>10.1</v>
      </c>
      <c r="I786" s="95"/>
      <c r="J786" s="95" t="s">
        <v>457</v>
      </c>
      <c r="K786" s="95" t="b">
        <v>1</v>
      </c>
      <c r="L786" s="95">
        <v>10</v>
      </c>
      <c r="M786" s="96">
        <v>2035</v>
      </c>
      <c r="N786" s="97">
        <v>0</v>
      </c>
      <c r="O786" s="98">
        <v>46020</v>
      </c>
      <c r="P786" s="98">
        <v>46020</v>
      </c>
      <c r="Q786" s="99">
        <v>0</v>
      </c>
    </row>
    <row r="787" spans="1:17">
      <c r="A787" s="7">
        <v>2025</v>
      </c>
      <c r="B787" s="8" t="s">
        <v>434</v>
      </c>
      <c r="C787" s="94" t="s">
        <v>435</v>
      </c>
      <c r="D787" s="95">
        <v>3215062</v>
      </c>
      <c r="E787" s="95">
        <v>2</v>
      </c>
      <c r="F787" s="95"/>
      <c r="G787" s="95">
        <v>109100</v>
      </c>
      <c r="H787" s="95">
        <v>10.1</v>
      </c>
      <c r="I787" s="95"/>
      <c r="J787" s="95" t="s">
        <v>457</v>
      </c>
      <c r="K787" s="95" t="b">
        <v>1</v>
      </c>
      <c r="L787" s="95">
        <v>6</v>
      </c>
      <c r="M787" s="96">
        <v>2031</v>
      </c>
      <c r="N787" s="97">
        <v>0</v>
      </c>
      <c r="O787" s="98">
        <v>46020</v>
      </c>
      <c r="P787" s="98">
        <v>46020</v>
      </c>
      <c r="Q787" s="99">
        <v>0</v>
      </c>
    </row>
    <row r="788" spans="1:17">
      <c r="A788" s="7">
        <v>2025</v>
      </c>
      <c r="B788" s="8" t="s">
        <v>434</v>
      </c>
      <c r="C788" s="94" t="s">
        <v>435</v>
      </c>
      <c r="D788" s="95">
        <v>3215062</v>
      </c>
      <c r="E788" s="95">
        <v>2</v>
      </c>
      <c r="F788" s="95"/>
      <c r="G788" s="95">
        <v>109100</v>
      </c>
      <c r="H788" s="95">
        <v>10.1</v>
      </c>
      <c r="I788" s="95"/>
      <c r="J788" s="95" t="s">
        <v>457</v>
      </c>
      <c r="K788" s="95" t="b">
        <v>1</v>
      </c>
      <c r="L788" s="95">
        <v>0</v>
      </c>
      <c r="M788" s="96">
        <v>2025</v>
      </c>
      <c r="N788" s="97">
        <v>0</v>
      </c>
      <c r="O788" s="98">
        <v>46020</v>
      </c>
      <c r="P788" s="98">
        <v>46020</v>
      </c>
      <c r="Q788" s="99">
        <v>0</v>
      </c>
    </row>
    <row r="789" spans="1:17">
      <c r="A789" s="7">
        <v>2025</v>
      </c>
      <c r="B789" s="8" t="s">
        <v>434</v>
      </c>
      <c r="C789" s="94" t="s">
        <v>435</v>
      </c>
      <c r="D789" s="95">
        <v>3215062</v>
      </c>
      <c r="E789" s="95">
        <v>2</v>
      </c>
      <c r="F789" s="95"/>
      <c r="G789" s="95">
        <v>109100</v>
      </c>
      <c r="H789" s="95">
        <v>10.1</v>
      </c>
      <c r="I789" s="95"/>
      <c r="J789" s="95" t="s">
        <v>457</v>
      </c>
      <c r="K789" s="95" t="b">
        <v>1</v>
      </c>
      <c r="L789" s="95">
        <v>1</v>
      </c>
      <c r="M789" s="96">
        <v>2026</v>
      </c>
      <c r="N789" s="97">
        <v>0</v>
      </c>
      <c r="O789" s="98">
        <v>46020</v>
      </c>
      <c r="P789" s="98">
        <v>46020</v>
      </c>
      <c r="Q789" s="99">
        <v>0</v>
      </c>
    </row>
    <row r="790" spans="1:17">
      <c r="A790" s="7">
        <v>2025</v>
      </c>
      <c r="B790" s="8" t="s">
        <v>434</v>
      </c>
      <c r="C790" s="94" t="s">
        <v>435</v>
      </c>
      <c r="D790" s="95">
        <v>3215062</v>
      </c>
      <c r="E790" s="95">
        <v>2</v>
      </c>
      <c r="F790" s="95"/>
      <c r="G790" s="95">
        <v>109100</v>
      </c>
      <c r="H790" s="95">
        <v>10.1</v>
      </c>
      <c r="I790" s="95"/>
      <c r="J790" s="95" t="s">
        <v>457</v>
      </c>
      <c r="K790" s="95" t="b">
        <v>1</v>
      </c>
      <c r="L790" s="95">
        <v>9</v>
      </c>
      <c r="M790" s="96">
        <v>2034</v>
      </c>
      <c r="N790" s="97">
        <v>0</v>
      </c>
      <c r="O790" s="98">
        <v>46020</v>
      </c>
      <c r="P790" s="98">
        <v>46020</v>
      </c>
      <c r="Q790" s="99">
        <v>0</v>
      </c>
    </row>
    <row r="791" spans="1:17">
      <c r="A791" s="7">
        <v>2025</v>
      </c>
      <c r="B791" s="8" t="s">
        <v>434</v>
      </c>
      <c r="C791" s="94" t="s">
        <v>435</v>
      </c>
      <c r="D791" s="95">
        <v>3215062</v>
      </c>
      <c r="E791" s="95">
        <v>2</v>
      </c>
      <c r="F791" s="95"/>
      <c r="G791" s="95">
        <v>109100</v>
      </c>
      <c r="H791" s="95">
        <v>10.1</v>
      </c>
      <c r="I791" s="95"/>
      <c r="J791" s="95" t="s">
        <v>457</v>
      </c>
      <c r="K791" s="95" t="b">
        <v>1</v>
      </c>
      <c r="L791" s="95">
        <v>2</v>
      </c>
      <c r="M791" s="96">
        <v>2027</v>
      </c>
      <c r="N791" s="97">
        <v>0</v>
      </c>
      <c r="O791" s="98">
        <v>46020</v>
      </c>
      <c r="P791" s="98">
        <v>46020</v>
      </c>
      <c r="Q791" s="99">
        <v>0</v>
      </c>
    </row>
    <row r="792" spans="1:17">
      <c r="A792" s="7">
        <v>2025</v>
      </c>
      <c r="B792" s="8" t="s">
        <v>434</v>
      </c>
      <c r="C792" s="94" t="s">
        <v>435</v>
      </c>
      <c r="D792" s="95">
        <v>3215062</v>
      </c>
      <c r="E792" s="95">
        <v>2</v>
      </c>
      <c r="F792" s="95"/>
      <c r="G792" s="95">
        <v>109100</v>
      </c>
      <c r="H792" s="95">
        <v>10.1</v>
      </c>
      <c r="I792" s="95"/>
      <c r="J792" s="95" t="s">
        <v>457</v>
      </c>
      <c r="K792" s="95" t="b">
        <v>1</v>
      </c>
      <c r="L792" s="95">
        <v>8</v>
      </c>
      <c r="M792" s="96">
        <v>2033</v>
      </c>
      <c r="N792" s="97">
        <v>0</v>
      </c>
      <c r="O792" s="98">
        <v>46020</v>
      </c>
      <c r="P792" s="98">
        <v>46020</v>
      </c>
      <c r="Q792" s="99">
        <v>0</v>
      </c>
    </row>
    <row r="793" spans="1:17">
      <c r="A793" s="7">
        <v>2025</v>
      </c>
      <c r="B793" s="8" t="s">
        <v>434</v>
      </c>
      <c r="C793" s="94" t="s">
        <v>435</v>
      </c>
      <c r="D793" s="95">
        <v>3215062</v>
      </c>
      <c r="E793" s="95">
        <v>2</v>
      </c>
      <c r="F793" s="95"/>
      <c r="G793" s="95">
        <v>109100</v>
      </c>
      <c r="H793" s="95">
        <v>10.1</v>
      </c>
      <c r="I793" s="95"/>
      <c r="J793" s="95" t="s">
        <v>457</v>
      </c>
      <c r="K793" s="95" t="b">
        <v>1</v>
      </c>
      <c r="L793" s="95">
        <v>12</v>
      </c>
      <c r="M793" s="96">
        <v>2037</v>
      </c>
      <c r="N793" s="97">
        <v>0</v>
      </c>
      <c r="O793" s="98">
        <v>46020</v>
      </c>
      <c r="P793" s="98">
        <v>46020</v>
      </c>
      <c r="Q793" s="99">
        <v>0</v>
      </c>
    </row>
    <row r="794" spans="1:17">
      <c r="A794" s="7">
        <v>2025</v>
      </c>
      <c r="B794" s="8" t="s">
        <v>434</v>
      </c>
      <c r="C794" s="94" t="s">
        <v>435</v>
      </c>
      <c r="D794" s="95">
        <v>3215062</v>
      </c>
      <c r="E794" s="95">
        <v>2</v>
      </c>
      <c r="F794" s="95"/>
      <c r="G794" s="95">
        <v>109100</v>
      </c>
      <c r="H794" s="95">
        <v>10.1</v>
      </c>
      <c r="I794" s="95"/>
      <c r="J794" s="95" t="s">
        <v>457</v>
      </c>
      <c r="K794" s="95" t="b">
        <v>1</v>
      </c>
      <c r="L794" s="95">
        <v>4</v>
      </c>
      <c r="M794" s="96">
        <v>2029</v>
      </c>
      <c r="N794" s="97">
        <v>0</v>
      </c>
      <c r="O794" s="98">
        <v>46020</v>
      </c>
      <c r="P794" s="98">
        <v>46020</v>
      </c>
      <c r="Q794" s="99">
        <v>0</v>
      </c>
    </row>
    <row r="795" spans="1:17">
      <c r="A795" s="7">
        <v>2025</v>
      </c>
      <c r="B795" s="8" t="s">
        <v>434</v>
      </c>
      <c r="C795" s="94" t="s">
        <v>435</v>
      </c>
      <c r="D795" s="95">
        <v>3215062</v>
      </c>
      <c r="E795" s="95">
        <v>2</v>
      </c>
      <c r="F795" s="95"/>
      <c r="G795" s="95">
        <v>109100</v>
      </c>
      <c r="H795" s="95">
        <v>10.1</v>
      </c>
      <c r="I795" s="95"/>
      <c r="J795" s="95" t="s">
        <v>457</v>
      </c>
      <c r="K795" s="95" t="b">
        <v>1</v>
      </c>
      <c r="L795" s="95">
        <v>11</v>
      </c>
      <c r="M795" s="96">
        <v>2036</v>
      </c>
      <c r="N795" s="97">
        <v>0</v>
      </c>
      <c r="O795" s="98">
        <v>46020</v>
      </c>
      <c r="P795" s="98">
        <v>46020</v>
      </c>
      <c r="Q795" s="99">
        <v>0</v>
      </c>
    </row>
    <row r="796" spans="1:17">
      <c r="A796" s="7">
        <v>2025</v>
      </c>
      <c r="B796" s="8" t="s">
        <v>434</v>
      </c>
      <c r="C796" s="94" t="s">
        <v>435</v>
      </c>
      <c r="D796" s="95">
        <v>3215062</v>
      </c>
      <c r="E796" s="95">
        <v>2</v>
      </c>
      <c r="F796" s="95"/>
      <c r="G796" s="95">
        <v>109100</v>
      </c>
      <c r="H796" s="95">
        <v>10.1</v>
      </c>
      <c r="I796" s="95"/>
      <c r="J796" s="95" t="s">
        <v>457</v>
      </c>
      <c r="K796" s="95" t="b">
        <v>1</v>
      </c>
      <c r="L796" s="95">
        <v>13</v>
      </c>
      <c r="M796" s="96">
        <v>2038</v>
      </c>
      <c r="N796" s="97">
        <v>0</v>
      </c>
      <c r="O796" s="98">
        <v>46020</v>
      </c>
      <c r="P796" s="98">
        <v>46020</v>
      </c>
      <c r="Q796" s="99">
        <v>0</v>
      </c>
    </row>
    <row r="797" spans="1:17">
      <c r="A797" s="7">
        <v>2025</v>
      </c>
      <c r="B797" s="8" t="s">
        <v>434</v>
      </c>
      <c r="C797" s="94" t="s">
        <v>435</v>
      </c>
      <c r="D797" s="95">
        <v>3215062</v>
      </c>
      <c r="E797" s="95">
        <v>2</v>
      </c>
      <c r="F797" s="95"/>
      <c r="G797" s="95">
        <v>109100</v>
      </c>
      <c r="H797" s="95">
        <v>10.1</v>
      </c>
      <c r="I797" s="95"/>
      <c r="J797" s="95" t="s">
        <v>457</v>
      </c>
      <c r="K797" s="95" t="b">
        <v>1</v>
      </c>
      <c r="L797" s="95">
        <v>7</v>
      </c>
      <c r="M797" s="96">
        <v>2032</v>
      </c>
      <c r="N797" s="97">
        <v>0</v>
      </c>
      <c r="O797" s="98">
        <v>46020</v>
      </c>
      <c r="P797" s="98">
        <v>46020</v>
      </c>
      <c r="Q797" s="99">
        <v>0</v>
      </c>
    </row>
    <row r="798" spans="1:17">
      <c r="A798" s="7">
        <v>2025</v>
      </c>
      <c r="B798" s="8" t="s">
        <v>434</v>
      </c>
      <c r="C798" s="94" t="s">
        <v>435</v>
      </c>
      <c r="D798" s="95">
        <v>3215062</v>
      </c>
      <c r="E798" s="95">
        <v>2</v>
      </c>
      <c r="F798" s="95"/>
      <c r="G798" s="95">
        <v>93100</v>
      </c>
      <c r="H798" s="95" t="s">
        <v>215</v>
      </c>
      <c r="I798" s="95"/>
      <c r="J798" s="95" t="s">
        <v>168</v>
      </c>
      <c r="K798" s="95" t="b">
        <v>0</v>
      </c>
      <c r="L798" s="95">
        <v>2</v>
      </c>
      <c r="M798" s="96">
        <v>2027</v>
      </c>
      <c r="N798" s="97">
        <v>2716430.08</v>
      </c>
      <c r="O798" s="98">
        <v>46020</v>
      </c>
      <c r="P798" s="98">
        <v>46020</v>
      </c>
      <c r="Q798" s="99">
        <v>0</v>
      </c>
    </row>
    <row r="799" spans="1:17">
      <c r="A799" s="7">
        <v>2025</v>
      </c>
      <c r="B799" s="8" t="s">
        <v>434</v>
      </c>
      <c r="C799" s="94" t="s">
        <v>435</v>
      </c>
      <c r="D799" s="95">
        <v>3215062</v>
      </c>
      <c r="E799" s="95">
        <v>2</v>
      </c>
      <c r="F799" s="95"/>
      <c r="G799" s="95">
        <v>93100</v>
      </c>
      <c r="H799" s="95" t="s">
        <v>215</v>
      </c>
      <c r="I799" s="95"/>
      <c r="J799" s="95" t="s">
        <v>168</v>
      </c>
      <c r="K799" s="95" t="b">
        <v>0</v>
      </c>
      <c r="L799" s="95">
        <v>11</v>
      </c>
      <c r="M799" s="96">
        <v>2036</v>
      </c>
      <c r="N799" s="97">
        <v>0</v>
      </c>
      <c r="O799" s="98">
        <v>46020</v>
      </c>
      <c r="P799" s="98">
        <v>46020</v>
      </c>
      <c r="Q799" s="99">
        <v>0</v>
      </c>
    </row>
    <row r="800" spans="1:17">
      <c r="A800" s="7">
        <v>2025</v>
      </c>
      <c r="B800" s="8" t="s">
        <v>434</v>
      </c>
      <c r="C800" s="94" t="s">
        <v>435</v>
      </c>
      <c r="D800" s="95">
        <v>3215062</v>
      </c>
      <c r="E800" s="95">
        <v>2</v>
      </c>
      <c r="F800" s="95"/>
      <c r="G800" s="95">
        <v>93100</v>
      </c>
      <c r="H800" s="95" t="s">
        <v>215</v>
      </c>
      <c r="I800" s="95"/>
      <c r="J800" s="95" t="s">
        <v>168</v>
      </c>
      <c r="K800" s="95" t="b">
        <v>0</v>
      </c>
      <c r="L800" s="95">
        <v>4</v>
      </c>
      <c r="M800" s="96">
        <v>2029</v>
      </c>
      <c r="N800" s="97">
        <v>0</v>
      </c>
      <c r="O800" s="98">
        <v>46020</v>
      </c>
      <c r="P800" s="98">
        <v>46020</v>
      </c>
      <c r="Q800" s="99">
        <v>0</v>
      </c>
    </row>
    <row r="801" spans="1:17">
      <c r="A801" s="7">
        <v>2025</v>
      </c>
      <c r="B801" s="8" t="s">
        <v>434</v>
      </c>
      <c r="C801" s="94" t="s">
        <v>435</v>
      </c>
      <c r="D801" s="95">
        <v>3215062</v>
      </c>
      <c r="E801" s="95">
        <v>2</v>
      </c>
      <c r="F801" s="95"/>
      <c r="G801" s="95">
        <v>93100</v>
      </c>
      <c r="H801" s="95" t="s">
        <v>215</v>
      </c>
      <c r="I801" s="95"/>
      <c r="J801" s="95" t="s">
        <v>168</v>
      </c>
      <c r="K801" s="95" t="b">
        <v>0</v>
      </c>
      <c r="L801" s="95">
        <v>1</v>
      </c>
      <c r="M801" s="96">
        <v>2026</v>
      </c>
      <c r="N801" s="97">
        <v>3712121.19</v>
      </c>
      <c r="O801" s="98">
        <v>46020</v>
      </c>
      <c r="P801" s="98">
        <v>46020</v>
      </c>
      <c r="Q801" s="99">
        <v>0</v>
      </c>
    </row>
    <row r="802" spans="1:17">
      <c r="A802" s="7">
        <v>2025</v>
      </c>
      <c r="B802" s="8" t="s">
        <v>434</v>
      </c>
      <c r="C802" s="94" t="s">
        <v>435</v>
      </c>
      <c r="D802" s="95">
        <v>3215062</v>
      </c>
      <c r="E802" s="95">
        <v>2</v>
      </c>
      <c r="F802" s="95"/>
      <c r="G802" s="95">
        <v>93100</v>
      </c>
      <c r="H802" s="95" t="s">
        <v>215</v>
      </c>
      <c r="I802" s="95"/>
      <c r="J802" s="95" t="s">
        <v>168</v>
      </c>
      <c r="K802" s="95" t="b">
        <v>0</v>
      </c>
      <c r="L802" s="95">
        <v>0</v>
      </c>
      <c r="M802" s="96">
        <v>2025</v>
      </c>
      <c r="N802" s="97">
        <v>1401238.55</v>
      </c>
      <c r="O802" s="98">
        <v>46020</v>
      </c>
      <c r="P802" s="98">
        <v>46020</v>
      </c>
      <c r="Q802" s="99">
        <v>0</v>
      </c>
    </row>
    <row r="803" spans="1:17">
      <c r="A803" s="7">
        <v>2025</v>
      </c>
      <c r="B803" s="8" t="s">
        <v>434</v>
      </c>
      <c r="C803" s="94" t="s">
        <v>435</v>
      </c>
      <c r="D803" s="95">
        <v>3215062</v>
      </c>
      <c r="E803" s="95">
        <v>2</v>
      </c>
      <c r="F803" s="95"/>
      <c r="G803" s="95">
        <v>93100</v>
      </c>
      <c r="H803" s="95" t="s">
        <v>215</v>
      </c>
      <c r="I803" s="95"/>
      <c r="J803" s="95" t="s">
        <v>168</v>
      </c>
      <c r="K803" s="95" t="b">
        <v>0</v>
      </c>
      <c r="L803" s="95">
        <v>8</v>
      </c>
      <c r="M803" s="96">
        <v>2033</v>
      </c>
      <c r="N803" s="97">
        <v>0</v>
      </c>
      <c r="O803" s="98">
        <v>46020</v>
      </c>
      <c r="P803" s="98">
        <v>46020</v>
      </c>
      <c r="Q803" s="99">
        <v>0</v>
      </c>
    </row>
    <row r="804" spans="1:17">
      <c r="A804" s="7">
        <v>2025</v>
      </c>
      <c r="B804" s="8" t="s">
        <v>434</v>
      </c>
      <c r="C804" s="94" t="s">
        <v>435</v>
      </c>
      <c r="D804" s="95">
        <v>3215062</v>
      </c>
      <c r="E804" s="95">
        <v>2</v>
      </c>
      <c r="F804" s="95"/>
      <c r="G804" s="95">
        <v>93100</v>
      </c>
      <c r="H804" s="95" t="s">
        <v>215</v>
      </c>
      <c r="I804" s="95"/>
      <c r="J804" s="95" t="s">
        <v>168</v>
      </c>
      <c r="K804" s="95" t="b">
        <v>0</v>
      </c>
      <c r="L804" s="95">
        <v>7</v>
      </c>
      <c r="M804" s="96">
        <v>2032</v>
      </c>
      <c r="N804" s="97">
        <v>0</v>
      </c>
      <c r="O804" s="98">
        <v>46020</v>
      </c>
      <c r="P804" s="98">
        <v>46020</v>
      </c>
      <c r="Q804" s="99">
        <v>0</v>
      </c>
    </row>
    <row r="805" spans="1:17">
      <c r="A805" s="7">
        <v>2025</v>
      </c>
      <c r="B805" s="8" t="s">
        <v>434</v>
      </c>
      <c r="C805" s="94" t="s">
        <v>435</v>
      </c>
      <c r="D805" s="95">
        <v>3215062</v>
      </c>
      <c r="E805" s="95">
        <v>2</v>
      </c>
      <c r="F805" s="95"/>
      <c r="G805" s="95">
        <v>93100</v>
      </c>
      <c r="H805" s="95" t="s">
        <v>215</v>
      </c>
      <c r="I805" s="95"/>
      <c r="J805" s="95" t="s">
        <v>168</v>
      </c>
      <c r="K805" s="95" t="b">
        <v>0</v>
      </c>
      <c r="L805" s="95">
        <v>9</v>
      </c>
      <c r="M805" s="96">
        <v>2034</v>
      </c>
      <c r="N805" s="97">
        <v>0</v>
      </c>
      <c r="O805" s="98">
        <v>46020</v>
      </c>
      <c r="P805" s="98">
        <v>46020</v>
      </c>
      <c r="Q805" s="99">
        <v>0</v>
      </c>
    </row>
    <row r="806" spans="1:17">
      <c r="A806" s="7">
        <v>2025</v>
      </c>
      <c r="B806" s="8" t="s">
        <v>434</v>
      </c>
      <c r="C806" s="94" t="s">
        <v>435</v>
      </c>
      <c r="D806" s="95">
        <v>3215062</v>
      </c>
      <c r="E806" s="95">
        <v>2</v>
      </c>
      <c r="F806" s="95"/>
      <c r="G806" s="95">
        <v>93100</v>
      </c>
      <c r="H806" s="95" t="s">
        <v>215</v>
      </c>
      <c r="I806" s="95"/>
      <c r="J806" s="95" t="s">
        <v>168</v>
      </c>
      <c r="K806" s="95" t="b">
        <v>0</v>
      </c>
      <c r="L806" s="95">
        <v>13</v>
      </c>
      <c r="M806" s="96">
        <v>2038</v>
      </c>
      <c r="N806" s="97">
        <v>0</v>
      </c>
      <c r="O806" s="98">
        <v>46020</v>
      </c>
      <c r="P806" s="98">
        <v>46020</v>
      </c>
      <c r="Q806" s="99">
        <v>0</v>
      </c>
    </row>
    <row r="807" spans="1:17">
      <c r="A807" s="7">
        <v>2025</v>
      </c>
      <c r="B807" s="8" t="s">
        <v>434</v>
      </c>
      <c r="C807" s="94" t="s">
        <v>435</v>
      </c>
      <c r="D807" s="95">
        <v>3215062</v>
      </c>
      <c r="E807" s="95">
        <v>2</v>
      </c>
      <c r="F807" s="95"/>
      <c r="G807" s="95">
        <v>93100</v>
      </c>
      <c r="H807" s="95" t="s">
        <v>215</v>
      </c>
      <c r="I807" s="95"/>
      <c r="J807" s="95" t="s">
        <v>168</v>
      </c>
      <c r="K807" s="95" t="b">
        <v>0</v>
      </c>
      <c r="L807" s="95">
        <v>3</v>
      </c>
      <c r="M807" s="96">
        <v>2028</v>
      </c>
      <c r="N807" s="97">
        <v>0</v>
      </c>
      <c r="O807" s="98">
        <v>46020</v>
      </c>
      <c r="P807" s="98">
        <v>46020</v>
      </c>
      <c r="Q807" s="99">
        <v>0</v>
      </c>
    </row>
    <row r="808" spans="1:17">
      <c r="A808" s="7">
        <v>2025</v>
      </c>
      <c r="B808" s="8" t="s">
        <v>434</v>
      </c>
      <c r="C808" s="94" t="s">
        <v>435</v>
      </c>
      <c r="D808" s="95">
        <v>3215062</v>
      </c>
      <c r="E808" s="95">
        <v>2</v>
      </c>
      <c r="F808" s="95"/>
      <c r="G808" s="95">
        <v>93100</v>
      </c>
      <c r="H808" s="95" t="s">
        <v>215</v>
      </c>
      <c r="I808" s="95"/>
      <c r="J808" s="95" t="s">
        <v>168</v>
      </c>
      <c r="K808" s="95" t="b">
        <v>0</v>
      </c>
      <c r="L808" s="95">
        <v>12</v>
      </c>
      <c r="M808" s="96">
        <v>2037</v>
      </c>
      <c r="N808" s="97">
        <v>0</v>
      </c>
      <c r="O808" s="98">
        <v>46020</v>
      </c>
      <c r="P808" s="98">
        <v>46020</v>
      </c>
      <c r="Q808" s="99">
        <v>0</v>
      </c>
    </row>
    <row r="809" spans="1:17">
      <c r="A809" s="7">
        <v>2025</v>
      </c>
      <c r="B809" s="8" t="s">
        <v>434</v>
      </c>
      <c r="C809" s="94" t="s">
        <v>435</v>
      </c>
      <c r="D809" s="95">
        <v>3215062</v>
      </c>
      <c r="E809" s="95">
        <v>2</v>
      </c>
      <c r="F809" s="95"/>
      <c r="G809" s="95">
        <v>93100</v>
      </c>
      <c r="H809" s="95" t="s">
        <v>215</v>
      </c>
      <c r="I809" s="95"/>
      <c r="J809" s="95" t="s">
        <v>168</v>
      </c>
      <c r="K809" s="95" t="b">
        <v>0</v>
      </c>
      <c r="L809" s="95">
        <v>10</v>
      </c>
      <c r="M809" s="96">
        <v>2035</v>
      </c>
      <c r="N809" s="97">
        <v>0</v>
      </c>
      <c r="O809" s="98">
        <v>46020</v>
      </c>
      <c r="P809" s="98">
        <v>46020</v>
      </c>
      <c r="Q809" s="99">
        <v>0</v>
      </c>
    </row>
    <row r="810" spans="1:17">
      <c r="A810" s="7">
        <v>2025</v>
      </c>
      <c r="B810" s="8" t="s">
        <v>434</v>
      </c>
      <c r="C810" s="94" t="s">
        <v>435</v>
      </c>
      <c r="D810" s="95">
        <v>3215062</v>
      </c>
      <c r="E810" s="95">
        <v>2</v>
      </c>
      <c r="F810" s="95"/>
      <c r="G810" s="95">
        <v>93100</v>
      </c>
      <c r="H810" s="95" t="s">
        <v>215</v>
      </c>
      <c r="I810" s="95"/>
      <c r="J810" s="95" t="s">
        <v>168</v>
      </c>
      <c r="K810" s="95" t="b">
        <v>0</v>
      </c>
      <c r="L810" s="95">
        <v>6</v>
      </c>
      <c r="M810" s="96">
        <v>2031</v>
      </c>
      <c r="N810" s="97">
        <v>0</v>
      </c>
      <c r="O810" s="98">
        <v>46020</v>
      </c>
      <c r="P810" s="98">
        <v>46020</v>
      </c>
      <c r="Q810" s="99">
        <v>0</v>
      </c>
    </row>
    <row r="811" spans="1:17">
      <c r="A811" s="7">
        <v>2025</v>
      </c>
      <c r="B811" s="8" t="s">
        <v>434</v>
      </c>
      <c r="C811" s="94" t="s">
        <v>435</v>
      </c>
      <c r="D811" s="95">
        <v>3215062</v>
      </c>
      <c r="E811" s="95">
        <v>2</v>
      </c>
      <c r="F811" s="95"/>
      <c r="G811" s="95">
        <v>93100</v>
      </c>
      <c r="H811" s="95" t="s">
        <v>215</v>
      </c>
      <c r="I811" s="95"/>
      <c r="J811" s="95" t="s">
        <v>168</v>
      </c>
      <c r="K811" s="95" t="b">
        <v>0</v>
      </c>
      <c r="L811" s="95">
        <v>5</v>
      </c>
      <c r="M811" s="96">
        <v>2030</v>
      </c>
      <c r="N811" s="97">
        <v>0</v>
      </c>
      <c r="O811" s="98">
        <v>46020</v>
      </c>
      <c r="P811" s="98">
        <v>46020</v>
      </c>
      <c r="Q811" s="99">
        <v>0</v>
      </c>
    </row>
    <row r="812" spans="1:17">
      <c r="A812" s="7">
        <v>2025</v>
      </c>
      <c r="B812" s="8" t="s">
        <v>434</v>
      </c>
      <c r="C812" s="94" t="s">
        <v>435</v>
      </c>
      <c r="D812" s="95">
        <v>3215062</v>
      </c>
      <c r="E812" s="95">
        <v>2</v>
      </c>
      <c r="F812" s="95"/>
      <c r="G812" s="95">
        <v>107210</v>
      </c>
      <c r="H812" s="95" t="s">
        <v>223</v>
      </c>
      <c r="I812" s="95"/>
      <c r="J812" s="95" t="s">
        <v>184</v>
      </c>
      <c r="K812" s="95" t="b">
        <v>1</v>
      </c>
      <c r="L812" s="95">
        <v>3</v>
      </c>
      <c r="M812" s="96">
        <v>2028</v>
      </c>
      <c r="N812" s="97">
        <v>0</v>
      </c>
      <c r="O812" s="98">
        <v>46020</v>
      </c>
      <c r="P812" s="98">
        <v>46020</v>
      </c>
      <c r="Q812" s="99">
        <v>0</v>
      </c>
    </row>
    <row r="813" spans="1:17">
      <c r="A813" s="7">
        <v>2025</v>
      </c>
      <c r="B813" s="8" t="s">
        <v>434</v>
      </c>
      <c r="C813" s="94" t="s">
        <v>435</v>
      </c>
      <c r="D813" s="95">
        <v>3215062</v>
      </c>
      <c r="E813" s="95">
        <v>2</v>
      </c>
      <c r="F813" s="95"/>
      <c r="G813" s="95">
        <v>107210</v>
      </c>
      <c r="H813" s="95" t="s">
        <v>223</v>
      </c>
      <c r="I813" s="95"/>
      <c r="J813" s="95" t="s">
        <v>184</v>
      </c>
      <c r="K813" s="95" t="b">
        <v>1</v>
      </c>
      <c r="L813" s="95">
        <v>10</v>
      </c>
      <c r="M813" s="96">
        <v>2035</v>
      </c>
      <c r="N813" s="97">
        <v>0</v>
      </c>
      <c r="O813" s="98">
        <v>46020</v>
      </c>
      <c r="P813" s="98">
        <v>46020</v>
      </c>
      <c r="Q813" s="99">
        <v>0</v>
      </c>
    </row>
    <row r="814" spans="1:17">
      <c r="A814" s="7">
        <v>2025</v>
      </c>
      <c r="B814" s="8" t="s">
        <v>434</v>
      </c>
      <c r="C814" s="94" t="s">
        <v>435</v>
      </c>
      <c r="D814" s="95">
        <v>3215062</v>
      </c>
      <c r="E814" s="95">
        <v>2</v>
      </c>
      <c r="F814" s="95"/>
      <c r="G814" s="95">
        <v>107210</v>
      </c>
      <c r="H814" s="95" t="s">
        <v>223</v>
      </c>
      <c r="I814" s="95"/>
      <c r="J814" s="95" t="s">
        <v>184</v>
      </c>
      <c r="K814" s="95" t="b">
        <v>1</v>
      </c>
      <c r="L814" s="95">
        <v>13</v>
      </c>
      <c r="M814" s="96">
        <v>2038</v>
      </c>
      <c r="N814" s="97">
        <v>0</v>
      </c>
      <c r="O814" s="98">
        <v>46020</v>
      </c>
      <c r="P814" s="98">
        <v>46020</v>
      </c>
      <c r="Q814" s="99">
        <v>0</v>
      </c>
    </row>
    <row r="815" spans="1:17">
      <c r="A815" s="7">
        <v>2025</v>
      </c>
      <c r="B815" s="8" t="s">
        <v>434</v>
      </c>
      <c r="C815" s="94" t="s">
        <v>435</v>
      </c>
      <c r="D815" s="95">
        <v>3215062</v>
      </c>
      <c r="E815" s="95">
        <v>2</v>
      </c>
      <c r="F815" s="95"/>
      <c r="G815" s="95">
        <v>107210</v>
      </c>
      <c r="H815" s="95" t="s">
        <v>223</v>
      </c>
      <c r="I815" s="95"/>
      <c r="J815" s="95" t="s">
        <v>184</v>
      </c>
      <c r="K815" s="95" t="b">
        <v>1</v>
      </c>
      <c r="L815" s="95">
        <v>1</v>
      </c>
      <c r="M815" s="96">
        <v>2026</v>
      </c>
      <c r="N815" s="97">
        <v>0</v>
      </c>
      <c r="O815" s="98">
        <v>46020</v>
      </c>
      <c r="P815" s="98">
        <v>46020</v>
      </c>
      <c r="Q815" s="99">
        <v>0</v>
      </c>
    </row>
    <row r="816" spans="1:17">
      <c r="A816" s="7">
        <v>2025</v>
      </c>
      <c r="B816" s="8" t="s">
        <v>434</v>
      </c>
      <c r="C816" s="94" t="s">
        <v>435</v>
      </c>
      <c r="D816" s="95">
        <v>3215062</v>
      </c>
      <c r="E816" s="95">
        <v>2</v>
      </c>
      <c r="F816" s="95"/>
      <c r="G816" s="95">
        <v>107210</v>
      </c>
      <c r="H816" s="95" t="s">
        <v>223</v>
      </c>
      <c r="I816" s="95"/>
      <c r="J816" s="95" t="s">
        <v>184</v>
      </c>
      <c r="K816" s="95" t="b">
        <v>1</v>
      </c>
      <c r="L816" s="95">
        <v>0</v>
      </c>
      <c r="M816" s="96">
        <v>2025</v>
      </c>
      <c r="N816" s="97">
        <v>0</v>
      </c>
      <c r="O816" s="98">
        <v>46020</v>
      </c>
      <c r="P816" s="98">
        <v>46020</v>
      </c>
      <c r="Q816" s="99">
        <v>0</v>
      </c>
    </row>
    <row r="817" spans="1:17">
      <c r="A817" s="7">
        <v>2025</v>
      </c>
      <c r="B817" s="8" t="s">
        <v>434</v>
      </c>
      <c r="C817" s="94" t="s">
        <v>435</v>
      </c>
      <c r="D817" s="95">
        <v>3215062</v>
      </c>
      <c r="E817" s="95">
        <v>2</v>
      </c>
      <c r="F817" s="95"/>
      <c r="G817" s="95">
        <v>107210</v>
      </c>
      <c r="H817" s="95" t="s">
        <v>223</v>
      </c>
      <c r="I817" s="95"/>
      <c r="J817" s="95" t="s">
        <v>184</v>
      </c>
      <c r="K817" s="95" t="b">
        <v>1</v>
      </c>
      <c r="L817" s="95">
        <v>12</v>
      </c>
      <c r="M817" s="96">
        <v>2037</v>
      </c>
      <c r="N817" s="97">
        <v>0</v>
      </c>
      <c r="O817" s="98">
        <v>46020</v>
      </c>
      <c r="P817" s="98">
        <v>46020</v>
      </c>
      <c r="Q817" s="99">
        <v>0</v>
      </c>
    </row>
    <row r="818" spans="1:17">
      <c r="A818" s="7">
        <v>2025</v>
      </c>
      <c r="B818" s="8" t="s">
        <v>434</v>
      </c>
      <c r="C818" s="94" t="s">
        <v>435</v>
      </c>
      <c r="D818" s="95">
        <v>3215062</v>
      </c>
      <c r="E818" s="95">
        <v>2</v>
      </c>
      <c r="F818" s="95"/>
      <c r="G818" s="95">
        <v>107210</v>
      </c>
      <c r="H818" s="95" t="s">
        <v>223</v>
      </c>
      <c r="I818" s="95"/>
      <c r="J818" s="95" t="s">
        <v>184</v>
      </c>
      <c r="K818" s="95" t="b">
        <v>1</v>
      </c>
      <c r="L818" s="95">
        <v>7</v>
      </c>
      <c r="M818" s="96">
        <v>2032</v>
      </c>
      <c r="N818" s="97">
        <v>0</v>
      </c>
      <c r="O818" s="98">
        <v>46020</v>
      </c>
      <c r="P818" s="98">
        <v>46020</v>
      </c>
      <c r="Q818" s="99">
        <v>0</v>
      </c>
    </row>
    <row r="819" spans="1:17">
      <c r="A819" s="7">
        <v>2025</v>
      </c>
      <c r="B819" s="8" t="s">
        <v>434</v>
      </c>
      <c r="C819" s="94" t="s">
        <v>435</v>
      </c>
      <c r="D819" s="95">
        <v>3215062</v>
      </c>
      <c r="E819" s="95">
        <v>2</v>
      </c>
      <c r="F819" s="95"/>
      <c r="G819" s="95">
        <v>107210</v>
      </c>
      <c r="H819" s="95" t="s">
        <v>223</v>
      </c>
      <c r="I819" s="95"/>
      <c r="J819" s="95" t="s">
        <v>184</v>
      </c>
      <c r="K819" s="95" t="b">
        <v>1</v>
      </c>
      <c r="L819" s="95">
        <v>5</v>
      </c>
      <c r="M819" s="96">
        <v>2030</v>
      </c>
      <c r="N819" s="97">
        <v>0</v>
      </c>
      <c r="O819" s="98">
        <v>46020</v>
      </c>
      <c r="P819" s="98">
        <v>46020</v>
      </c>
      <c r="Q819" s="99">
        <v>0</v>
      </c>
    </row>
    <row r="820" spans="1:17">
      <c r="A820" s="7">
        <v>2025</v>
      </c>
      <c r="B820" s="8" t="s">
        <v>434</v>
      </c>
      <c r="C820" s="94" t="s">
        <v>435</v>
      </c>
      <c r="D820" s="95">
        <v>3215062</v>
      </c>
      <c r="E820" s="95">
        <v>2</v>
      </c>
      <c r="F820" s="95"/>
      <c r="G820" s="95">
        <v>107210</v>
      </c>
      <c r="H820" s="95" t="s">
        <v>223</v>
      </c>
      <c r="I820" s="95"/>
      <c r="J820" s="95" t="s">
        <v>184</v>
      </c>
      <c r="K820" s="95" t="b">
        <v>1</v>
      </c>
      <c r="L820" s="95">
        <v>11</v>
      </c>
      <c r="M820" s="96">
        <v>2036</v>
      </c>
      <c r="N820" s="97">
        <v>0</v>
      </c>
      <c r="O820" s="98">
        <v>46020</v>
      </c>
      <c r="P820" s="98">
        <v>46020</v>
      </c>
      <c r="Q820" s="99">
        <v>0</v>
      </c>
    </row>
    <row r="821" spans="1:17">
      <c r="A821" s="7">
        <v>2025</v>
      </c>
      <c r="B821" s="8" t="s">
        <v>434</v>
      </c>
      <c r="C821" s="94" t="s">
        <v>435</v>
      </c>
      <c r="D821" s="95">
        <v>3215062</v>
      </c>
      <c r="E821" s="95">
        <v>2</v>
      </c>
      <c r="F821" s="95"/>
      <c r="G821" s="95">
        <v>107210</v>
      </c>
      <c r="H821" s="95" t="s">
        <v>223</v>
      </c>
      <c r="I821" s="95"/>
      <c r="J821" s="95" t="s">
        <v>184</v>
      </c>
      <c r="K821" s="95" t="b">
        <v>1</v>
      </c>
      <c r="L821" s="95">
        <v>4</v>
      </c>
      <c r="M821" s="96">
        <v>2029</v>
      </c>
      <c r="N821" s="97">
        <v>0</v>
      </c>
      <c r="O821" s="98">
        <v>46020</v>
      </c>
      <c r="P821" s="98">
        <v>46020</v>
      </c>
      <c r="Q821" s="99">
        <v>0</v>
      </c>
    </row>
    <row r="822" spans="1:17">
      <c r="A822" s="7">
        <v>2025</v>
      </c>
      <c r="B822" s="8" t="s">
        <v>434</v>
      </c>
      <c r="C822" s="94" t="s">
        <v>435</v>
      </c>
      <c r="D822" s="95">
        <v>3215062</v>
      </c>
      <c r="E822" s="95">
        <v>2</v>
      </c>
      <c r="F822" s="95"/>
      <c r="G822" s="95">
        <v>107210</v>
      </c>
      <c r="H822" s="95" t="s">
        <v>223</v>
      </c>
      <c r="I822" s="95"/>
      <c r="J822" s="95" t="s">
        <v>184</v>
      </c>
      <c r="K822" s="95" t="b">
        <v>1</v>
      </c>
      <c r="L822" s="95">
        <v>9</v>
      </c>
      <c r="M822" s="96">
        <v>2034</v>
      </c>
      <c r="N822" s="97">
        <v>0</v>
      </c>
      <c r="O822" s="98">
        <v>46020</v>
      </c>
      <c r="P822" s="98">
        <v>46020</v>
      </c>
      <c r="Q822" s="99">
        <v>0</v>
      </c>
    </row>
    <row r="823" spans="1:17">
      <c r="A823" s="7">
        <v>2025</v>
      </c>
      <c r="B823" s="8" t="s">
        <v>434</v>
      </c>
      <c r="C823" s="94" t="s">
        <v>435</v>
      </c>
      <c r="D823" s="95">
        <v>3215062</v>
      </c>
      <c r="E823" s="95">
        <v>2</v>
      </c>
      <c r="F823" s="95"/>
      <c r="G823" s="95">
        <v>107210</v>
      </c>
      <c r="H823" s="95" t="s">
        <v>223</v>
      </c>
      <c r="I823" s="95"/>
      <c r="J823" s="95" t="s">
        <v>184</v>
      </c>
      <c r="K823" s="95" t="b">
        <v>1</v>
      </c>
      <c r="L823" s="95">
        <v>8</v>
      </c>
      <c r="M823" s="96">
        <v>2033</v>
      </c>
      <c r="N823" s="97">
        <v>0</v>
      </c>
      <c r="O823" s="98">
        <v>46020</v>
      </c>
      <c r="P823" s="98">
        <v>46020</v>
      </c>
      <c r="Q823" s="99">
        <v>0</v>
      </c>
    </row>
    <row r="824" spans="1:17">
      <c r="A824" s="7">
        <v>2025</v>
      </c>
      <c r="B824" s="8" t="s">
        <v>434</v>
      </c>
      <c r="C824" s="94" t="s">
        <v>435</v>
      </c>
      <c r="D824" s="95">
        <v>3215062</v>
      </c>
      <c r="E824" s="95">
        <v>2</v>
      </c>
      <c r="F824" s="95"/>
      <c r="G824" s="95">
        <v>107210</v>
      </c>
      <c r="H824" s="95" t="s">
        <v>223</v>
      </c>
      <c r="I824" s="95"/>
      <c r="J824" s="95" t="s">
        <v>184</v>
      </c>
      <c r="K824" s="95" t="b">
        <v>1</v>
      </c>
      <c r="L824" s="95">
        <v>6</v>
      </c>
      <c r="M824" s="96">
        <v>2031</v>
      </c>
      <c r="N824" s="97">
        <v>0</v>
      </c>
      <c r="O824" s="98">
        <v>46020</v>
      </c>
      <c r="P824" s="98">
        <v>46020</v>
      </c>
      <c r="Q824" s="99">
        <v>0</v>
      </c>
    </row>
    <row r="825" spans="1:17">
      <c r="A825" s="7">
        <v>2025</v>
      </c>
      <c r="B825" s="8" t="s">
        <v>434</v>
      </c>
      <c r="C825" s="94" t="s">
        <v>435</v>
      </c>
      <c r="D825" s="95">
        <v>3215062</v>
      </c>
      <c r="E825" s="95">
        <v>2</v>
      </c>
      <c r="F825" s="95"/>
      <c r="G825" s="95">
        <v>71000</v>
      </c>
      <c r="H825" s="95">
        <v>7.1</v>
      </c>
      <c r="I825" s="95" t="s">
        <v>453</v>
      </c>
      <c r="J825" s="95" t="s">
        <v>150</v>
      </c>
      <c r="K825" s="95" t="b">
        <v>0</v>
      </c>
      <c r="L825" s="95">
        <v>2</v>
      </c>
      <c r="M825" s="96">
        <v>2027</v>
      </c>
      <c r="N825" s="97">
        <v>1048540.94</v>
      </c>
      <c r="O825" s="98">
        <v>46020</v>
      </c>
      <c r="P825" s="98">
        <v>46020</v>
      </c>
      <c r="Q825" s="99">
        <v>0</v>
      </c>
    </row>
    <row r="826" spans="1:17">
      <c r="A826" s="7">
        <v>2025</v>
      </c>
      <c r="B826" s="8" t="s">
        <v>434</v>
      </c>
      <c r="C826" s="94" t="s">
        <v>435</v>
      </c>
      <c r="D826" s="95">
        <v>3215062</v>
      </c>
      <c r="E826" s="95">
        <v>2</v>
      </c>
      <c r="F826" s="95"/>
      <c r="G826" s="95">
        <v>71000</v>
      </c>
      <c r="H826" s="95">
        <v>7.1</v>
      </c>
      <c r="I826" s="95" t="s">
        <v>453</v>
      </c>
      <c r="J826" s="95" t="s">
        <v>150</v>
      </c>
      <c r="K826" s="95" t="b">
        <v>0</v>
      </c>
      <c r="L826" s="95">
        <v>7</v>
      </c>
      <c r="M826" s="96">
        <v>2032</v>
      </c>
      <c r="N826" s="97">
        <v>1341594.6000000001</v>
      </c>
      <c r="O826" s="98">
        <v>46020</v>
      </c>
      <c r="P826" s="98">
        <v>46020</v>
      </c>
      <c r="Q826" s="99">
        <v>0</v>
      </c>
    </row>
    <row r="827" spans="1:17">
      <c r="A827" s="7">
        <v>2025</v>
      </c>
      <c r="B827" s="8" t="s">
        <v>434</v>
      </c>
      <c r="C827" s="94" t="s">
        <v>435</v>
      </c>
      <c r="D827" s="95">
        <v>3215062</v>
      </c>
      <c r="E827" s="95">
        <v>2</v>
      </c>
      <c r="F827" s="95"/>
      <c r="G827" s="95">
        <v>71000</v>
      </c>
      <c r="H827" s="95">
        <v>7.1</v>
      </c>
      <c r="I827" s="95" t="s">
        <v>453</v>
      </c>
      <c r="J827" s="95" t="s">
        <v>150</v>
      </c>
      <c r="K827" s="95" t="b">
        <v>0</v>
      </c>
      <c r="L827" s="95">
        <v>13</v>
      </c>
      <c r="M827" s="96">
        <v>2038</v>
      </c>
      <c r="N827" s="97">
        <v>1960017</v>
      </c>
      <c r="O827" s="98">
        <v>46020</v>
      </c>
      <c r="P827" s="98">
        <v>46020</v>
      </c>
      <c r="Q827" s="99">
        <v>0</v>
      </c>
    </row>
    <row r="828" spans="1:17">
      <c r="A828" s="7">
        <v>2025</v>
      </c>
      <c r="B828" s="8" t="s">
        <v>434</v>
      </c>
      <c r="C828" s="94" t="s">
        <v>435</v>
      </c>
      <c r="D828" s="95">
        <v>3215062</v>
      </c>
      <c r="E828" s="95">
        <v>2</v>
      </c>
      <c r="F828" s="95"/>
      <c r="G828" s="95">
        <v>71000</v>
      </c>
      <c r="H828" s="95">
        <v>7.1</v>
      </c>
      <c r="I828" s="95" t="s">
        <v>453</v>
      </c>
      <c r="J828" s="95" t="s">
        <v>150</v>
      </c>
      <c r="K828" s="95" t="b">
        <v>0</v>
      </c>
      <c r="L828" s="95">
        <v>4</v>
      </c>
      <c r="M828" s="96">
        <v>2029</v>
      </c>
      <c r="N828" s="97">
        <v>1238692.6000000001</v>
      </c>
      <c r="O828" s="98">
        <v>46020</v>
      </c>
      <c r="P828" s="98">
        <v>46020</v>
      </c>
      <c r="Q828" s="99">
        <v>0</v>
      </c>
    </row>
    <row r="829" spans="1:17">
      <c r="A829" s="7">
        <v>2025</v>
      </c>
      <c r="B829" s="8" t="s">
        <v>434</v>
      </c>
      <c r="C829" s="94" t="s">
        <v>435</v>
      </c>
      <c r="D829" s="95">
        <v>3215062</v>
      </c>
      <c r="E829" s="95">
        <v>2</v>
      </c>
      <c r="F829" s="95"/>
      <c r="G829" s="95">
        <v>71000</v>
      </c>
      <c r="H829" s="95">
        <v>7.1</v>
      </c>
      <c r="I829" s="95" t="s">
        <v>453</v>
      </c>
      <c r="J829" s="95" t="s">
        <v>150</v>
      </c>
      <c r="K829" s="95" t="b">
        <v>0</v>
      </c>
      <c r="L829" s="95">
        <v>3</v>
      </c>
      <c r="M829" s="96">
        <v>2028</v>
      </c>
      <c r="N829" s="97">
        <v>1055962.6000000001</v>
      </c>
      <c r="O829" s="98">
        <v>46020</v>
      </c>
      <c r="P829" s="98">
        <v>46020</v>
      </c>
      <c r="Q829" s="99">
        <v>0</v>
      </c>
    </row>
    <row r="830" spans="1:17">
      <c r="A830" s="7">
        <v>2025</v>
      </c>
      <c r="B830" s="8" t="s">
        <v>434</v>
      </c>
      <c r="C830" s="94" t="s">
        <v>435</v>
      </c>
      <c r="D830" s="95">
        <v>3215062</v>
      </c>
      <c r="E830" s="95">
        <v>2</v>
      </c>
      <c r="F830" s="95"/>
      <c r="G830" s="95">
        <v>71000</v>
      </c>
      <c r="H830" s="95">
        <v>7.1</v>
      </c>
      <c r="I830" s="95" t="s">
        <v>453</v>
      </c>
      <c r="J830" s="95" t="s">
        <v>150</v>
      </c>
      <c r="K830" s="95" t="b">
        <v>0</v>
      </c>
      <c r="L830" s="95">
        <v>12</v>
      </c>
      <c r="M830" s="96">
        <v>2037</v>
      </c>
      <c r="N830" s="97">
        <v>1772062</v>
      </c>
      <c r="O830" s="98">
        <v>46020</v>
      </c>
      <c r="P830" s="98">
        <v>46020</v>
      </c>
      <c r="Q830" s="99">
        <v>0</v>
      </c>
    </row>
    <row r="831" spans="1:17">
      <c r="A831" s="7">
        <v>2025</v>
      </c>
      <c r="B831" s="8" t="s">
        <v>434</v>
      </c>
      <c r="C831" s="94" t="s">
        <v>435</v>
      </c>
      <c r="D831" s="95">
        <v>3215062</v>
      </c>
      <c r="E831" s="95">
        <v>2</v>
      </c>
      <c r="F831" s="95"/>
      <c r="G831" s="95">
        <v>71000</v>
      </c>
      <c r="H831" s="95">
        <v>7.1</v>
      </c>
      <c r="I831" s="95" t="s">
        <v>453</v>
      </c>
      <c r="J831" s="95" t="s">
        <v>150</v>
      </c>
      <c r="K831" s="95" t="b">
        <v>0</v>
      </c>
      <c r="L831" s="95">
        <v>10</v>
      </c>
      <c r="M831" s="96">
        <v>2035</v>
      </c>
      <c r="N831" s="97">
        <v>1609885.6</v>
      </c>
      <c r="O831" s="98">
        <v>46020</v>
      </c>
      <c r="P831" s="98">
        <v>46020</v>
      </c>
      <c r="Q831" s="99">
        <v>0</v>
      </c>
    </row>
    <row r="832" spans="1:17">
      <c r="A832" s="7">
        <v>2025</v>
      </c>
      <c r="B832" s="8" t="s">
        <v>434</v>
      </c>
      <c r="C832" s="94" t="s">
        <v>435</v>
      </c>
      <c r="D832" s="95">
        <v>3215062</v>
      </c>
      <c r="E832" s="95">
        <v>2</v>
      </c>
      <c r="F832" s="95"/>
      <c r="G832" s="95">
        <v>71000</v>
      </c>
      <c r="H832" s="95">
        <v>7.1</v>
      </c>
      <c r="I832" s="95" t="s">
        <v>453</v>
      </c>
      <c r="J832" s="95" t="s">
        <v>150</v>
      </c>
      <c r="K832" s="95" t="b">
        <v>0</v>
      </c>
      <c r="L832" s="95">
        <v>6</v>
      </c>
      <c r="M832" s="96">
        <v>2031</v>
      </c>
      <c r="N832" s="97">
        <v>1278740.6000000001</v>
      </c>
      <c r="O832" s="98">
        <v>46020</v>
      </c>
      <c r="P832" s="98">
        <v>46020</v>
      </c>
      <c r="Q832" s="99">
        <v>0</v>
      </c>
    </row>
    <row r="833" spans="1:17">
      <c r="A833" s="7">
        <v>2025</v>
      </c>
      <c r="B833" s="8" t="s">
        <v>434</v>
      </c>
      <c r="C833" s="94" t="s">
        <v>435</v>
      </c>
      <c r="D833" s="95">
        <v>3215062</v>
      </c>
      <c r="E833" s="95">
        <v>2</v>
      </c>
      <c r="F833" s="95"/>
      <c r="G833" s="95">
        <v>86100</v>
      </c>
      <c r="H833" s="95" t="s">
        <v>323</v>
      </c>
      <c r="I833" s="95"/>
      <c r="J833" s="95" t="s">
        <v>323</v>
      </c>
      <c r="K833" s="95" t="b">
        <v>1</v>
      </c>
      <c r="L833" s="95">
        <v>8</v>
      </c>
      <c r="M833" s="96">
        <v>2033</v>
      </c>
      <c r="N833" s="97">
        <v>0</v>
      </c>
      <c r="O833" s="98">
        <v>46020</v>
      </c>
      <c r="P833" s="98">
        <v>46020</v>
      </c>
      <c r="Q833" s="99">
        <v>0</v>
      </c>
    </row>
    <row r="834" spans="1:17">
      <c r="A834" s="7">
        <v>2025</v>
      </c>
      <c r="B834" s="8" t="s">
        <v>434</v>
      </c>
      <c r="C834" s="94" t="s">
        <v>435</v>
      </c>
      <c r="D834" s="95">
        <v>3215062</v>
      </c>
      <c r="E834" s="95">
        <v>2</v>
      </c>
      <c r="F834" s="95"/>
      <c r="G834" s="95">
        <v>86100</v>
      </c>
      <c r="H834" s="95" t="s">
        <v>323</v>
      </c>
      <c r="I834" s="95"/>
      <c r="J834" s="95" t="s">
        <v>323</v>
      </c>
      <c r="K834" s="95" t="b">
        <v>1</v>
      </c>
      <c r="L834" s="95">
        <v>7</v>
      </c>
      <c r="M834" s="96">
        <v>2032</v>
      </c>
      <c r="N834" s="97">
        <v>0</v>
      </c>
      <c r="O834" s="98">
        <v>46020</v>
      </c>
      <c r="P834" s="98">
        <v>46020</v>
      </c>
      <c r="Q834" s="99">
        <v>0</v>
      </c>
    </row>
    <row r="835" spans="1:17">
      <c r="A835" s="7">
        <v>2025</v>
      </c>
      <c r="B835" s="8" t="s">
        <v>434</v>
      </c>
      <c r="C835" s="94" t="s">
        <v>435</v>
      </c>
      <c r="D835" s="95">
        <v>3215062</v>
      </c>
      <c r="E835" s="95">
        <v>2</v>
      </c>
      <c r="F835" s="95"/>
      <c r="G835" s="95">
        <v>86100</v>
      </c>
      <c r="H835" s="95" t="s">
        <v>323</v>
      </c>
      <c r="I835" s="95"/>
      <c r="J835" s="95" t="s">
        <v>323</v>
      </c>
      <c r="K835" s="95" t="b">
        <v>1</v>
      </c>
      <c r="L835" s="95">
        <v>11</v>
      </c>
      <c r="M835" s="96">
        <v>2036</v>
      </c>
      <c r="N835" s="97">
        <v>0</v>
      </c>
      <c r="O835" s="98">
        <v>46020</v>
      </c>
      <c r="P835" s="98">
        <v>46020</v>
      </c>
      <c r="Q835" s="99">
        <v>0</v>
      </c>
    </row>
    <row r="836" spans="1:17">
      <c r="A836" s="7">
        <v>2025</v>
      </c>
      <c r="B836" s="8" t="s">
        <v>434</v>
      </c>
      <c r="C836" s="94" t="s">
        <v>435</v>
      </c>
      <c r="D836" s="95">
        <v>3215062</v>
      </c>
      <c r="E836" s="95">
        <v>2</v>
      </c>
      <c r="F836" s="95"/>
      <c r="G836" s="95">
        <v>86100</v>
      </c>
      <c r="H836" s="95" t="s">
        <v>323</v>
      </c>
      <c r="I836" s="95"/>
      <c r="J836" s="95" t="s">
        <v>323</v>
      </c>
      <c r="K836" s="95" t="b">
        <v>1</v>
      </c>
      <c r="L836" s="95">
        <v>13</v>
      </c>
      <c r="M836" s="96">
        <v>2038</v>
      </c>
      <c r="N836" s="97">
        <v>0</v>
      </c>
      <c r="O836" s="98">
        <v>46020</v>
      </c>
      <c r="P836" s="98">
        <v>46020</v>
      </c>
      <c r="Q836" s="99">
        <v>0</v>
      </c>
    </row>
    <row r="837" spans="1:17">
      <c r="A837" s="7">
        <v>2025</v>
      </c>
      <c r="B837" s="8" t="s">
        <v>434</v>
      </c>
      <c r="C837" s="94" t="s">
        <v>435</v>
      </c>
      <c r="D837" s="95">
        <v>3215062</v>
      </c>
      <c r="E837" s="95">
        <v>2</v>
      </c>
      <c r="F837" s="95"/>
      <c r="G837" s="95">
        <v>86100</v>
      </c>
      <c r="H837" s="95" t="s">
        <v>323</v>
      </c>
      <c r="I837" s="95"/>
      <c r="J837" s="95" t="s">
        <v>323</v>
      </c>
      <c r="K837" s="95" t="b">
        <v>1</v>
      </c>
      <c r="L837" s="95">
        <v>3</v>
      </c>
      <c r="M837" s="96">
        <v>2028</v>
      </c>
      <c r="N837" s="97">
        <v>0</v>
      </c>
      <c r="O837" s="98">
        <v>46020</v>
      </c>
      <c r="P837" s="98">
        <v>46020</v>
      </c>
      <c r="Q837" s="99">
        <v>0</v>
      </c>
    </row>
    <row r="838" spans="1:17">
      <c r="A838" s="7">
        <v>2025</v>
      </c>
      <c r="B838" s="8" t="s">
        <v>434</v>
      </c>
      <c r="C838" s="94" t="s">
        <v>435</v>
      </c>
      <c r="D838" s="95">
        <v>3215062</v>
      </c>
      <c r="E838" s="95">
        <v>2</v>
      </c>
      <c r="F838" s="95"/>
      <c r="G838" s="95">
        <v>86100</v>
      </c>
      <c r="H838" s="95" t="s">
        <v>323</v>
      </c>
      <c r="I838" s="95"/>
      <c r="J838" s="95" t="s">
        <v>323</v>
      </c>
      <c r="K838" s="95" t="b">
        <v>1</v>
      </c>
      <c r="L838" s="95">
        <v>1</v>
      </c>
      <c r="M838" s="96">
        <v>2026</v>
      </c>
      <c r="N838" s="97">
        <v>0</v>
      </c>
      <c r="O838" s="98">
        <v>46020</v>
      </c>
      <c r="P838" s="98">
        <v>46020</v>
      </c>
      <c r="Q838" s="99">
        <v>0</v>
      </c>
    </row>
    <row r="839" spans="1:17">
      <c r="A839" s="7">
        <v>2025</v>
      </c>
      <c r="B839" s="8" t="s">
        <v>434</v>
      </c>
      <c r="C839" s="94" t="s">
        <v>435</v>
      </c>
      <c r="D839" s="95">
        <v>3215062</v>
      </c>
      <c r="E839" s="95">
        <v>2</v>
      </c>
      <c r="F839" s="95"/>
      <c r="G839" s="95">
        <v>86100</v>
      </c>
      <c r="H839" s="95" t="s">
        <v>323</v>
      </c>
      <c r="I839" s="95"/>
      <c r="J839" s="95" t="s">
        <v>323</v>
      </c>
      <c r="K839" s="95" t="b">
        <v>1</v>
      </c>
      <c r="L839" s="95">
        <v>0</v>
      </c>
      <c r="M839" s="96">
        <v>2025</v>
      </c>
      <c r="N839" s="97">
        <v>0</v>
      </c>
      <c r="O839" s="98">
        <v>46020</v>
      </c>
      <c r="P839" s="98">
        <v>46020</v>
      </c>
      <c r="Q839" s="99">
        <v>0</v>
      </c>
    </row>
    <row r="840" spans="1:17">
      <c r="A840" s="7">
        <v>2025</v>
      </c>
      <c r="B840" s="8" t="s">
        <v>434</v>
      </c>
      <c r="C840" s="94" t="s">
        <v>435</v>
      </c>
      <c r="D840" s="95">
        <v>3215062</v>
      </c>
      <c r="E840" s="95">
        <v>2</v>
      </c>
      <c r="F840" s="95"/>
      <c r="G840" s="95">
        <v>86100</v>
      </c>
      <c r="H840" s="95" t="s">
        <v>323</v>
      </c>
      <c r="I840" s="95"/>
      <c r="J840" s="95" t="s">
        <v>323</v>
      </c>
      <c r="K840" s="95" t="b">
        <v>1</v>
      </c>
      <c r="L840" s="95">
        <v>12</v>
      </c>
      <c r="M840" s="96">
        <v>2037</v>
      </c>
      <c r="N840" s="97">
        <v>0</v>
      </c>
      <c r="O840" s="98">
        <v>46020</v>
      </c>
      <c r="P840" s="98">
        <v>46020</v>
      </c>
      <c r="Q840" s="99">
        <v>0</v>
      </c>
    </row>
    <row r="841" spans="1:17">
      <c r="A841" s="7">
        <v>2025</v>
      </c>
      <c r="B841" s="8" t="s">
        <v>434</v>
      </c>
      <c r="C841" s="94" t="s">
        <v>435</v>
      </c>
      <c r="D841" s="95">
        <v>3215062</v>
      </c>
      <c r="E841" s="95">
        <v>2</v>
      </c>
      <c r="F841" s="95"/>
      <c r="G841" s="95">
        <v>86100</v>
      </c>
      <c r="H841" s="95" t="s">
        <v>323</v>
      </c>
      <c r="I841" s="95"/>
      <c r="J841" s="95" t="s">
        <v>323</v>
      </c>
      <c r="K841" s="95" t="b">
        <v>1</v>
      </c>
      <c r="L841" s="95">
        <v>9</v>
      </c>
      <c r="M841" s="96">
        <v>2034</v>
      </c>
      <c r="N841" s="97">
        <v>0</v>
      </c>
      <c r="O841" s="98">
        <v>46020</v>
      </c>
      <c r="P841" s="98">
        <v>46020</v>
      </c>
      <c r="Q841" s="99">
        <v>0</v>
      </c>
    </row>
    <row r="842" spans="1:17">
      <c r="A842" s="7">
        <v>2025</v>
      </c>
      <c r="B842" s="8" t="s">
        <v>434</v>
      </c>
      <c r="C842" s="94" t="s">
        <v>435</v>
      </c>
      <c r="D842" s="95">
        <v>3215062</v>
      </c>
      <c r="E842" s="95">
        <v>2</v>
      </c>
      <c r="F842" s="95"/>
      <c r="G842" s="95">
        <v>86100</v>
      </c>
      <c r="H842" s="95" t="s">
        <v>323</v>
      </c>
      <c r="I842" s="95"/>
      <c r="J842" s="95" t="s">
        <v>323</v>
      </c>
      <c r="K842" s="95" t="b">
        <v>1</v>
      </c>
      <c r="L842" s="95">
        <v>2</v>
      </c>
      <c r="M842" s="96">
        <v>2027</v>
      </c>
      <c r="N842" s="97">
        <v>0</v>
      </c>
      <c r="O842" s="98">
        <v>46020</v>
      </c>
      <c r="P842" s="98">
        <v>46020</v>
      </c>
      <c r="Q842" s="99">
        <v>0</v>
      </c>
    </row>
    <row r="843" spans="1:17">
      <c r="A843" s="7">
        <v>2025</v>
      </c>
      <c r="B843" s="8" t="s">
        <v>434</v>
      </c>
      <c r="C843" s="94" t="s">
        <v>435</v>
      </c>
      <c r="D843" s="95">
        <v>3215062</v>
      </c>
      <c r="E843" s="95">
        <v>2</v>
      </c>
      <c r="F843" s="95"/>
      <c r="G843" s="95">
        <v>86100</v>
      </c>
      <c r="H843" s="95" t="s">
        <v>323</v>
      </c>
      <c r="I843" s="95"/>
      <c r="J843" s="95" t="s">
        <v>323</v>
      </c>
      <c r="K843" s="95" t="b">
        <v>1</v>
      </c>
      <c r="L843" s="95">
        <v>6</v>
      </c>
      <c r="M843" s="96">
        <v>2031</v>
      </c>
      <c r="N843" s="97">
        <v>0</v>
      </c>
      <c r="O843" s="98">
        <v>46020</v>
      </c>
      <c r="P843" s="98">
        <v>46020</v>
      </c>
      <c r="Q843" s="99">
        <v>0</v>
      </c>
    </row>
    <row r="844" spans="1:17">
      <c r="A844" s="7">
        <v>2025</v>
      </c>
      <c r="B844" s="8" t="s">
        <v>434</v>
      </c>
      <c r="C844" s="94" t="s">
        <v>435</v>
      </c>
      <c r="D844" s="95">
        <v>3215062</v>
      </c>
      <c r="E844" s="95">
        <v>2</v>
      </c>
      <c r="F844" s="95"/>
      <c r="G844" s="95">
        <v>86100</v>
      </c>
      <c r="H844" s="95" t="s">
        <v>323</v>
      </c>
      <c r="I844" s="95"/>
      <c r="J844" s="95" t="s">
        <v>323</v>
      </c>
      <c r="K844" s="95" t="b">
        <v>1</v>
      </c>
      <c r="L844" s="95">
        <v>5</v>
      </c>
      <c r="M844" s="96">
        <v>2030</v>
      </c>
      <c r="N844" s="97">
        <v>0</v>
      </c>
      <c r="O844" s="98">
        <v>46020</v>
      </c>
      <c r="P844" s="98">
        <v>46020</v>
      </c>
      <c r="Q844" s="99">
        <v>0</v>
      </c>
    </row>
    <row r="845" spans="1:17">
      <c r="A845" s="7">
        <v>2025</v>
      </c>
      <c r="B845" s="8" t="s">
        <v>434</v>
      </c>
      <c r="C845" s="94" t="s">
        <v>435</v>
      </c>
      <c r="D845" s="95">
        <v>3215062</v>
      </c>
      <c r="E845" s="95">
        <v>2</v>
      </c>
      <c r="F845" s="95"/>
      <c r="G845" s="95">
        <v>86100</v>
      </c>
      <c r="H845" s="95" t="s">
        <v>323</v>
      </c>
      <c r="I845" s="95"/>
      <c r="J845" s="95" t="s">
        <v>323</v>
      </c>
      <c r="K845" s="95" t="b">
        <v>1</v>
      </c>
      <c r="L845" s="95">
        <v>10</v>
      </c>
      <c r="M845" s="96">
        <v>2035</v>
      </c>
      <c r="N845" s="97">
        <v>0</v>
      </c>
      <c r="O845" s="98">
        <v>46020</v>
      </c>
      <c r="P845" s="98">
        <v>46020</v>
      </c>
      <c r="Q845" s="99">
        <v>0</v>
      </c>
    </row>
    <row r="846" spans="1:17">
      <c r="A846" s="7">
        <v>2025</v>
      </c>
      <c r="B846" s="8" t="s">
        <v>434</v>
      </c>
      <c r="C846" s="94" t="s">
        <v>435</v>
      </c>
      <c r="D846" s="95">
        <v>3215062</v>
      </c>
      <c r="E846" s="95">
        <v>2</v>
      </c>
      <c r="F846" s="95"/>
      <c r="G846" s="95">
        <v>86100</v>
      </c>
      <c r="H846" s="95" t="s">
        <v>323</v>
      </c>
      <c r="I846" s="95"/>
      <c r="J846" s="95" t="s">
        <v>323</v>
      </c>
      <c r="K846" s="95" t="b">
        <v>1</v>
      </c>
      <c r="L846" s="95">
        <v>4</v>
      </c>
      <c r="M846" s="96">
        <v>2029</v>
      </c>
      <c r="N846" s="97">
        <v>0</v>
      </c>
      <c r="O846" s="98">
        <v>46020</v>
      </c>
      <c r="P846" s="98">
        <v>46020</v>
      </c>
      <c r="Q846" s="99">
        <v>0</v>
      </c>
    </row>
    <row r="847" spans="1:17">
      <c r="A847" s="7">
        <v>2025</v>
      </c>
      <c r="B847" s="8" t="s">
        <v>434</v>
      </c>
      <c r="C847" s="94" t="s">
        <v>435</v>
      </c>
      <c r="D847" s="95">
        <v>3215062</v>
      </c>
      <c r="E847" s="95">
        <v>2</v>
      </c>
      <c r="F847" s="95"/>
      <c r="G847" s="95">
        <v>82220</v>
      </c>
      <c r="H847" s="95" t="s">
        <v>207</v>
      </c>
      <c r="I847" s="95" t="s">
        <v>458</v>
      </c>
      <c r="J847" s="95" t="s">
        <v>156</v>
      </c>
      <c r="K847" s="95" t="b">
        <v>0</v>
      </c>
      <c r="L847" s="95">
        <v>9</v>
      </c>
      <c r="M847" s="96">
        <v>2034</v>
      </c>
      <c r="N847" s="97">
        <v>0</v>
      </c>
      <c r="O847" s="98">
        <v>46020</v>
      </c>
      <c r="P847" s="98">
        <v>46020</v>
      </c>
      <c r="Q847" s="99">
        <v>0</v>
      </c>
    </row>
    <row r="848" spans="1:17">
      <c r="A848" s="7">
        <v>2025</v>
      </c>
      <c r="B848" s="8" t="s">
        <v>434</v>
      </c>
      <c r="C848" s="94" t="s">
        <v>435</v>
      </c>
      <c r="D848" s="95">
        <v>3215062</v>
      </c>
      <c r="E848" s="95">
        <v>2</v>
      </c>
      <c r="F848" s="95"/>
      <c r="G848" s="95">
        <v>82220</v>
      </c>
      <c r="H848" s="95" t="s">
        <v>207</v>
      </c>
      <c r="I848" s="95" t="s">
        <v>458</v>
      </c>
      <c r="J848" s="95" t="s">
        <v>156</v>
      </c>
      <c r="K848" s="95" t="b">
        <v>0</v>
      </c>
      <c r="L848" s="95">
        <v>10</v>
      </c>
      <c r="M848" s="96">
        <v>2035</v>
      </c>
      <c r="N848" s="97">
        <v>0</v>
      </c>
      <c r="O848" s="98">
        <v>46020</v>
      </c>
      <c r="P848" s="98">
        <v>46020</v>
      </c>
      <c r="Q848" s="99">
        <v>0</v>
      </c>
    </row>
    <row r="849" spans="1:17">
      <c r="A849" s="7">
        <v>2025</v>
      </c>
      <c r="B849" s="8" t="s">
        <v>434</v>
      </c>
      <c r="C849" s="94" t="s">
        <v>435</v>
      </c>
      <c r="D849" s="95">
        <v>3215062</v>
      </c>
      <c r="E849" s="95">
        <v>2</v>
      </c>
      <c r="F849" s="95"/>
      <c r="G849" s="95">
        <v>82220</v>
      </c>
      <c r="H849" s="95" t="s">
        <v>207</v>
      </c>
      <c r="I849" s="95" t="s">
        <v>458</v>
      </c>
      <c r="J849" s="95" t="s">
        <v>156</v>
      </c>
      <c r="K849" s="95" t="b">
        <v>0</v>
      </c>
      <c r="L849" s="95">
        <v>12</v>
      </c>
      <c r="M849" s="96">
        <v>2037</v>
      </c>
      <c r="N849" s="97">
        <v>0</v>
      </c>
      <c r="O849" s="98">
        <v>46020</v>
      </c>
      <c r="P849" s="98">
        <v>46020</v>
      </c>
      <c r="Q849" s="99">
        <v>0</v>
      </c>
    </row>
    <row r="850" spans="1:17">
      <c r="A850" s="7">
        <v>2025</v>
      </c>
      <c r="B850" s="8" t="s">
        <v>434</v>
      </c>
      <c r="C850" s="94" t="s">
        <v>435</v>
      </c>
      <c r="D850" s="95">
        <v>3215062</v>
      </c>
      <c r="E850" s="95">
        <v>2</v>
      </c>
      <c r="F850" s="95"/>
      <c r="G850" s="95">
        <v>82220</v>
      </c>
      <c r="H850" s="95" t="s">
        <v>207</v>
      </c>
      <c r="I850" s="95" t="s">
        <v>458</v>
      </c>
      <c r="J850" s="95" t="s">
        <v>156</v>
      </c>
      <c r="K850" s="95" t="b">
        <v>0</v>
      </c>
      <c r="L850" s="95">
        <v>1</v>
      </c>
      <c r="M850" s="96">
        <v>2026</v>
      </c>
      <c r="N850" s="97">
        <v>0</v>
      </c>
      <c r="O850" s="98">
        <v>46020</v>
      </c>
      <c r="P850" s="98">
        <v>46020</v>
      </c>
      <c r="Q850" s="99">
        <v>0</v>
      </c>
    </row>
    <row r="851" spans="1:17">
      <c r="A851" s="7">
        <v>2025</v>
      </c>
      <c r="B851" s="8" t="s">
        <v>434</v>
      </c>
      <c r="C851" s="94" t="s">
        <v>435</v>
      </c>
      <c r="D851" s="95">
        <v>3215062</v>
      </c>
      <c r="E851" s="95">
        <v>2</v>
      </c>
      <c r="F851" s="95"/>
      <c r="G851" s="95">
        <v>82220</v>
      </c>
      <c r="H851" s="95" t="s">
        <v>207</v>
      </c>
      <c r="I851" s="95" t="s">
        <v>458</v>
      </c>
      <c r="J851" s="95" t="s">
        <v>156</v>
      </c>
      <c r="K851" s="95" t="b">
        <v>0</v>
      </c>
      <c r="L851" s="95">
        <v>7</v>
      </c>
      <c r="M851" s="96">
        <v>2032</v>
      </c>
      <c r="N851" s="97">
        <v>0</v>
      </c>
      <c r="O851" s="98">
        <v>46020</v>
      </c>
      <c r="P851" s="98">
        <v>46020</v>
      </c>
      <c r="Q851" s="99">
        <v>0</v>
      </c>
    </row>
    <row r="852" spans="1:17">
      <c r="A852" s="7">
        <v>2025</v>
      </c>
      <c r="B852" s="8" t="s">
        <v>434</v>
      </c>
      <c r="C852" s="94" t="s">
        <v>435</v>
      </c>
      <c r="D852" s="95">
        <v>3215062</v>
      </c>
      <c r="E852" s="95">
        <v>2</v>
      </c>
      <c r="F852" s="95"/>
      <c r="G852" s="95">
        <v>82220</v>
      </c>
      <c r="H852" s="95" t="s">
        <v>207</v>
      </c>
      <c r="I852" s="95" t="s">
        <v>458</v>
      </c>
      <c r="J852" s="95" t="s">
        <v>156</v>
      </c>
      <c r="K852" s="95" t="b">
        <v>0</v>
      </c>
      <c r="L852" s="95">
        <v>13</v>
      </c>
      <c r="M852" s="96">
        <v>2038</v>
      </c>
      <c r="N852" s="97">
        <v>0</v>
      </c>
      <c r="O852" s="98">
        <v>46020</v>
      </c>
      <c r="P852" s="98">
        <v>46020</v>
      </c>
      <c r="Q852" s="99">
        <v>0</v>
      </c>
    </row>
    <row r="853" spans="1:17">
      <c r="A853" s="7">
        <v>2025</v>
      </c>
      <c r="B853" s="8" t="s">
        <v>434</v>
      </c>
      <c r="C853" s="94" t="s">
        <v>435</v>
      </c>
      <c r="D853" s="95">
        <v>3215062</v>
      </c>
      <c r="E853" s="95">
        <v>2</v>
      </c>
      <c r="F853" s="95"/>
      <c r="G853" s="95">
        <v>82220</v>
      </c>
      <c r="H853" s="95" t="s">
        <v>207</v>
      </c>
      <c r="I853" s="95" t="s">
        <v>458</v>
      </c>
      <c r="J853" s="95" t="s">
        <v>156</v>
      </c>
      <c r="K853" s="95" t="b">
        <v>0</v>
      </c>
      <c r="L853" s="95">
        <v>3</v>
      </c>
      <c r="M853" s="96">
        <v>2028</v>
      </c>
      <c r="N853" s="97">
        <v>0</v>
      </c>
      <c r="O853" s="98">
        <v>46020</v>
      </c>
      <c r="P853" s="98">
        <v>46020</v>
      </c>
      <c r="Q853" s="99">
        <v>0</v>
      </c>
    </row>
    <row r="854" spans="1:17">
      <c r="A854" s="7">
        <v>2025</v>
      </c>
      <c r="B854" s="8" t="s">
        <v>434</v>
      </c>
      <c r="C854" s="94" t="s">
        <v>435</v>
      </c>
      <c r="D854" s="95">
        <v>3215062</v>
      </c>
      <c r="E854" s="95">
        <v>2</v>
      </c>
      <c r="F854" s="95"/>
      <c r="G854" s="95">
        <v>82220</v>
      </c>
      <c r="H854" s="95" t="s">
        <v>207</v>
      </c>
      <c r="I854" s="95" t="s">
        <v>458</v>
      </c>
      <c r="J854" s="95" t="s">
        <v>156</v>
      </c>
      <c r="K854" s="95" t="b">
        <v>0</v>
      </c>
      <c r="L854" s="95">
        <v>4</v>
      </c>
      <c r="M854" s="96">
        <v>2029</v>
      </c>
      <c r="N854" s="97">
        <v>0</v>
      </c>
      <c r="O854" s="98">
        <v>46020</v>
      </c>
      <c r="P854" s="98">
        <v>46020</v>
      </c>
      <c r="Q854" s="99">
        <v>0</v>
      </c>
    </row>
    <row r="855" spans="1:17">
      <c r="A855" s="7">
        <v>2025</v>
      </c>
      <c r="B855" s="8" t="s">
        <v>434</v>
      </c>
      <c r="C855" s="94" t="s">
        <v>435</v>
      </c>
      <c r="D855" s="95">
        <v>3215062</v>
      </c>
      <c r="E855" s="95">
        <v>2</v>
      </c>
      <c r="F855" s="95"/>
      <c r="G855" s="95">
        <v>82220</v>
      </c>
      <c r="H855" s="95" t="s">
        <v>207</v>
      </c>
      <c r="I855" s="95" t="s">
        <v>458</v>
      </c>
      <c r="J855" s="95" t="s">
        <v>156</v>
      </c>
      <c r="K855" s="95" t="b">
        <v>0</v>
      </c>
      <c r="L855" s="95">
        <v>8</v>
      </c>
      <c r="M855" s="96">
        <v>2033</v>
      </c>
      <c r="N855" s="97">
        <v>0</v>
      </c>
      <c r="O855" s="98">
        <v>46020</v>
      </c>
      <c r="P855" s="98">
        <v>46020</v>
      </c>
      <c r="Q855" s="99">
        <v>0</v>
      </c>
    </row>
    <row r="856" spans="1:17">
      <c r="A856" s="7">
        <v>2025</v>
      </c>
      <c r="B856" s="8" t="s">
        <v>434</v>
      </c>
      <c r="C856" s="94" t="s">
        <v>435</v>
      </c>
      <c r="D856" s="95">
        <v>3215062</v>
      </c>
      <c r="E856" s="95">
        <v>2</v>
      </c>
      <c r="F856" s="95"/>
      <c r="G856" s="95">
        <v>82220</v>
      </c>
      <c r="H856" s="95" t="s">
        <v>207</v>
      </c>
      <c r="I856" s="95" t="s">
        <v>458</v>
      </c>
      <c r="J856" s="95" t="s">
        <v>156</v>
      </c>
      <c r="K856" s="95" t="b">
        <v>0</v>
      </c>
      <c r="L856" s="95">
        <v>6</v>
      </c>
      <c r="M856" s="96">
        <v>2031</v>
      </c>
      <c r="N856" s="97">
        <v>0</v>
      </c>
      <c r="O856" s="98">
        <v>46020</v>
      </c>
      <c r="P856" s="98">
        <v>46020</v>
      </c>
      <c r="Q856" s="99">
        <v>0</v>
      </c>
    </row>
    <row r="857" spans="1:17">
      <c r="A857" s="7">
        <v>2025</v>
      </c>
      <c r="B857" s="8" t="s">
        <v>434</v>
      </c>
      <c r="C857" s="94" t="s">
        <v>435</v>
      </c>
      <c r="D857" s="95">
        <v>3215062</v>
      </c>
      <c r="E857" s="95">
        <v>2</v>
      </c>
      <c r="F857" s="95"/>
      <c r="G857" s="95">
        <v>82220</v>
      </c>
      <c r="H857" s="95" t="s">
        <v>207</v>
      </c>
      <c r="I857" s="95" t="s">
        <v>458</v>
      </c>
      <c r="J857" s="95" t="s">
        <v>156</v>
      </c>
      <c r="K857" s="95" t="b">
        <v>0</v>
      </c>
      <c r="L857" s="95">
        <v>0</v>
      </c>
      <c r="M857" s="96">
        <v>2025</v>
      </c>
      <c r="N857" s="97">
        <v>0</v>
      </c>
      <c r="O857" s="98">
        <v>46020</v>
      </c>
      <c r="P857" s="98">
        <v>46020</v>
      </c>
      <c r="Q857" s="99">
        <v>0</v>
      </c>
    </row>
    <row r="858" spans="1:17">
      <c r="A858" s="7">
        <v>2025</v>
      </c>
      <c r="B858" s="8" t="s">
        <v>434</v>
      </c>
      <c r="C858" s="94" t="s">
        <v>435</v>
      </c>
      <c r="D858" s="95">
        <v>3215062</v>
      </c>
      <c r="E858" s="95">
        <v>2</v>
      </c>
      <c r="F858" s="95"/>
      <c r="G858" s="95">
        <v>82220</v>
      </c>
      <c r="H858" s="95" t="s">
        <v>207</v>
      </c>
      <c r="I858" s="95" t="s">
        <v>458</v>
      </c>
      <c r="J858" s="95" t="s">
        <v>156</v>
      </c>
      <c r="K858" s="95" t="b">
        <v>0</v>
      </c>
      <c r="L858" s="95">
        <v>5</v>
      </c>
      <c r="M858" s="96">
        <v>2030</v>
      </c>
      <c r="N858" s="97">
        <v>0</v>
      </c>
      <c r="O858" s="98">
        <v>46020</v>
      </c>
      <c r="P858" s="98">
        <v>46020</v>
      </c>
      <c r="Q858" s="99">
        <v>0</v>
      </c>
    </row>
    <row r="859" spans="1:17">
      <c r="A859" s="7">
        <v>2025</v>
      </c>
      <c r="B859" s="8" t="s">
        <v>434</v>
      </c>
      <c r="C859" s="94" t="s">
        <v>435</v>
      </c>
      <c r="D859" s="95">
        <v>3215062</v>
      </c>
      <c r="E859" s="95">
        <v>2</v>
      </c>
      <c r="F859" s="95"/>
      <c r="G859" s="95">
        <v>82220</v>
      </c>
      <c r="H859" s="95" t="s">
        <v>207</v>
      </c>
      <c r="I859" s="95" t="s">
        <v>458</v>
      </c>
      <c r="J859" s="95" t="s">
        <v>156</v>
      </c>
      <c r="K859" s="95" t="b">
        <v>0</v>
      </c>
      <c r="L859" s="95">
        <v>11</v>
      </c>
      <c r="M859" s="96">
        <v>2036</v>
      </c>
      <c r="N859" s="97">
        <v>0</v>
      </c>
      <c r="O859" s="98">
        <v>46020</v>
      </c>
      <c r="P859" s="98">
        <v>46020</v>
      </c>
      <c r="Q859" s="99">
        <v>0</v>
      </c>
    </row>
    <row r="860" spans="1:17">
      <c r="A860" s="7">
        <v>2025</v>
      </c>
      <c r="B860" s="8" t="s">
        <v>434</v>
      </c>
      <c r="C860" s="94" t="s">
        <v>435</v>
      </c>
      <c r="D860" s="95">
        <v>3215062</v>
      </c>
      <c r="E860" s="95">
        <v>2</v>
      </c>
      <c r="F860" s="95"/>
      <c r="G860" s="95">
        <v>82220</v>
      </c>
      <c r="H860" s="95" t="s">
        <v>207</v>
      </c>
      <c r="I860" s="95" t="s">
        <v>458</v>
      </c>
      <c r="J860" s="95" t="s">
        <v>156</v>
      </c>
      <c r="K860" s="95" t="b">
        <v>0</v>
      </c>
      <c r="L860" s="95">
        <v>2</v>
      </c>
      <c r="M860" s="96">
        <v>2027</v>
      </c>
      <c r="N860" s="97">
        <v>0</v>
      </c>
      <c r="O860" s="98">
        <v>46020</v>
      </c>
      <c r="P860" s="98">
        <v>46020</v>
      </c>
      <c r="Q860" s="99">
        <v>0</v>
      </c>
    </row>
    <row r="861" spans="1:17">
      <c r="A861" s="7">
        <v>2025</v>
      </c>
      <c r="B861" s="8" t="s">
        <v>434</v>
      </c>
      <c r="C861" s="94" t="s">
        <v>435</v>
      </c>
      <c r="D861" s="95">
        <v>3215062</v>
      </c>
      <c r="E861" s="95">
        <v>2</v>
      </c>
      <c r="F861" s="95"/>
      <c r="G861" s="95">
        <v>11300</v>
      </c>
      <c r="H861" s="95" t="s">
        <v>29</v>
      </c>
      <c r="I861" s="95"/>
      <c r="J861" s="95" t="s">
        <v>114</v>
      </c>
      <c r="K861" s="95" t="b">
        <v>1</v>
      </c>
      <c r="L861" s="95">
        <v>8</v>
      </c>
      <c r="M861" s="96">
        <v>2033</v>
      </c>
      <c r="N861" s="97">
        <v>11219363</v>
      </c>
      <c r="O861" s="98">
        <v>46020</v>
      </c>
      <c r="P861" s="98">
        <v>46020</v>
      </c>
      <c r="Q861" s="99">
        <v>0</v>
      </c>
    </row>
    <row r="862" spans="1:17">
      <c r="A862" s="7">
        <v>2025</v>
      </c>
      <c r="B862" s="8" t="s">
        <v>434</v>
      </c>
      <c r="C862" s="94" t="s">
        <v>435</v>
      </c>
      <c r="D862" s="95">
        <v>3215062</v>
      </c>
      <c r="E862" s="95">
        <v>2</v>
      </c>
      <c r="F862" s="95"/>
      <c r="G862" s="95">
        <v>11300</v>
      </c>
      <c r="H862" s="95" t="s">
        <v>29</v>
      </c>
      <c r="I862" s="95"/>
      <c r="J862" s="95" t="s">
        <v>114</v>
      </c>
      <c r="K862" s="95" t="b">
        <v>1</v>
      </c>
      <c r="L862" s="95">
        <v>0</v>
      </c>
      <c r="M862" s="96">
        <v>2025</v>
      </c>
      <c r="N862" s="97">
        <v>9125896.6500000004</v>
      </c>
      <c r="O862" s="98">
        <v>46020</v>
      </c>
      <c r="P862" s="98">
        <v>46020</v>
      </c>
      <c r="Q862" s="99">
        <v>0</v>
      </c>
    </row>
    <row r="863" spans="1:17">
      <c r="A863" s="7">
        <v>2025</v>
      </c>
      <c r="B863" s="8" t="s">
        <v>434</v>
      </c>
      <c r="C863" s="94" t="s">
        <v>435</v>
      </c>
      <c r="D863" s="95">
        <v>3215062</v>
      </c>
      <c r="E863" s="95">
        <v>2</v>
      </c>
      <c r="F863" s="95"/>
      <c r="G863" s="95">
        <v>11300</v>
      </c>
      <c r="H863" s="95" t="s">
        <v>29</v>
      </c>
      <c r="I863" s="95"/>
      <c r="J863" s="95" t="s">
        <v>114</v>
      </c>
      <c r="K863" s="95" t="b">
        <v>1</v>
      </c>
      <c r="L863" s="95">
        <v>12</v>
      </c>
      <c r="M863" s="96">
        <v>2037</v>
      </c>
      <c r="N863" s="97">
        <v>12384078</v>
      </c>
      <c r="O863" s="98">
        <v>46020</v>
      </c>
      <c r="P863" s="98">
        <v>46020</v>
      </c>
      <c r="Q863" s="99">
        <v>0</v>
      </c>
    </row>
    <row r="864" spans="1:17">
      <c r="A864" s="7">
        <v>2025</v>
      </c>
      <c r="B864" s="8" t="s">
        <v>434</v>
      </c>
      <c r="C864" s="94" t="s">
        <v>435</v>
      </c>
      <c r="D864" s="95">
        <v>3215062</v>
      </c>
      <c r="E864" s="95">
        <v>2</v>
      </c>
      <c r="F864" s="95"/>
      <c r="G864" s="95">
        <v>11300</v>
      </c>
      <c r="H864" s="95" t="s">
        <v>29</v>
      </c>
      <c r="I864" s="95"/>
      <c r="J864" s="95" t="s">
        <v>114</v>
      </c>
      <c r="K864" s="95" t="b">
        <v>1</v>
      </c>
      <c r="L864" s="95">
        <v>13</v>
      </c>
      <c r="M864" s="96">
        <v>2038</v>
      </c>
      <c r="N864" s="97">
        <v>12693680</v>
      </c>
      <c r="O864" s="98">
        <v>46020</v>
      </c>
      <c r="P864" s="98">
        <v>46020</v>
      </c>
      <c r="Q864" s="99">
        <v>0</v>
      </c>
    </row>
    <row r="865" spans="1:17">
      <c r="A865" s="7">
        <v>2025</v>
      </c>
      <c r="B865" s="8" t="s">
        <v>434</v>
      </c>
      <c r="C865" s="94" t="s">
        <v>435</v>
      </c>
      <c r="D865" s="95">
        <v>3215062</v>
      </c>
      <c r="E865" s="95">
        <v>2</v>
      </c>
      <c r="F865" s="95"/>
      <c r="G865" s="95">
        <v>11300</v>
      </c>
      <c r="H865" s="95" t="s">
        <v>29</v>
      </c>
      <c r="I865" s="95"/>
      <c r="J865" s="95" t="s">
        <v>114</v>
      </c>
      <c r="K865" s="95" t="b">
        <v>1</v>
      </c>
      <c r="L865" s="95">
        <v>5</v>
      </c>
      <c r="M865" s="96">
        <v>2030</v>
      </c>
      <c r="N865" s="97">
        <v>10418294</v>
      </c>
      <c r="O865" s="98">
        <v>46020</v>
      </c>
      <c r="P865" s="98">
        <v>46020</v>
      </c>
      <c r="Q865" s="99">
        <v>0</v>
      </c>
    </row>
    <row r="866" spans="1:17">
      <c r="A866" s="7">
        <v>2025</v>
      </c>
      <c r="B866" s="8" t="s">
        <v>434</v>
      </c>
      <c r="C866" s="94" t="s">
        <v>435</v>
      </c>
      <c r="D866" s="95">
        <v>3215062</v>
      </c>
      <c r="E866" s="95">
        <v>2</v>
      </c>
      <c r="F866" s="95"/>
      <c r="G866" s="95">
        <v>11300</v>
      </c>
      <c r="H866" s="95" t="s">
        <v>29</v>
      </c>
      <c r="I866" s="95"/>
      <c r="J866" s="95" t="s">
        <v>114</v>
      </c>
      <c r="K866" s="95" t="b">
        <v>1</v>
      </c>
      <c r="L866" s="95">
        <v>1</v>
      </c>
      <c r="M866" s="96">
        <v>2026</v>
      </c>
      <c r="N866" s="97">
        <v>9328844</v>
      </c>
      <c r="O866" s="98">
        <v>46020</v>
      </c>
      <c r="P866" s="98">
        <v>46020</v>
      </c>
      <c r="Q866" s="99">
        <v>0</v>
      </c>
    </row>
    <row r="867" spans="1:17">
      <c r="A867" s="7">
        <v>2025</v>
      </c>
      <c r="B867" s="8" t="s">
        <v>434</v>
      </c>
      <c r="C867" s="94" t="s">
        <v>435</v>
      </c>
      <c r="D867" s="95">
        <v>3215062</v>
      </c>
      <c r="E867" s="95">
        <v>2</v>
      </c>
      <c r="F867" s="95"/>
      <c r="G867" s="95">
        <v>11300</v>
      </c>
      <c r="H867" s="95" t="s">
        <v>29</v>
      </c>
      <c r="I867" s="95"/>
      <c r="J867" s="95" t="s">
        <v>114</v>
      </c>
      <c r="K867" s="95" t="b">
        <v>1</v>
      </c>
      <c r="L867" s="95">
        <v>7</v>
      </c>
      <c r="M867" s="96">
        <v>2032</v>
      </c>
      <c r="N867" s="97">
        <v>10945720</v>
      </c>
      <c r="O867" s="98">
        <v>46020</v>
      </c>
      <c r="P867" s="98">
        <v>46020</v>
      </c>
      <c r="Q867" s="99">
        <v>0</v>
      </c>
    </row>
    <row r="868" spans="1:17">
      <c r="A868" s="7">
        <v>2025</v>
      </c>
      <c r="B868" s="8" t="s">
        <v>434</v>
      </c>
      <c r="C868" s="94" t="s">
        <v>435</v>
      </c>
      <c r="D868" s="95">
        <v>3215062</v>
      </c>
      <c r="E868" s="95">
        <v>2</v>
      </c>
      <c r="F868" s="95"/>
      <c r="G868" s="95">
        <v>11300</v>
      </c>
      <c r="H868" s="95" t="s">
        <v>29</v>
      </c>
      <c r="I868" s="95"/>
      <c r="J868" s="95" t="s">
        <v>114</v>
      </c>
      <c r="K868" s="95" t="b">
        <v>1</v>
      </c>
      <c r="L868" s="95">
        <v>4</v>
      </c>
      <c r="M868" s="96">
        <v>2029</v>
      </c>
      <c r="N868" s="97">
        <v>10164189</v>
      </c>
      <c r="O868" s="98">
        <v>46020</v>
      </c>
      <c r="P868" s="98">
        <v>46020</v>
      </c>
      <c r="Q868" s="99">
        <v>0</v>
      </c>
    </row>
    <row r="869" spans="1:17">
      <c r="A869" s="7">
        <v>2025</v>
      </c>
      <c r="B869" s="8" t="s">
        <v>434</v>
      </c>
      <c r="C869" s="94" t="s">
        <v>435</v>
      </c>
      <c r="D869" s="95">
        <v>3215062</v>
      </c>
      <c r="E869" s="95">
        <v>2</v>
      </c>
      <c r="F869" s="95"/>
      <c r="G869" s="95">
        <v>11300</v>
      </c>
      <c r="H869" s="95" t="s">
        <v>29</v>
      </c>
      <c r="I869" s="95"/>
      <c r="J869" s="95" t="s">
        <v>114</v>
      </c>
      <c r="K869" s="95" t="b">
        <v>1</v>
      </c>
      <c r="L869" s="95">
        <v>6</v>
      </c>
      <c r="M869" s="96">
        <v>2031</v>
      </c>
      <c r="N869" s="97">
        <v>10678751</v>
      </c>
      <c r="O869" s="98">
        <v>46020</v>
      </c>
      <c r="P869" s="98">
        <v>46020</v>
      </c>
      <c r="Q869" s="99">
        <v>0</v>
      </c>
    </row>
    <row r="870" spans="1:17">
      <c r="A870" s="7">
        <v>2025</v>
      </c>
      <c r="B870" s="8" t="s">
        <v>434</v>
      </c>
      <c r="C870" s="94" t="s">
        <v>435</v>
      </c>
      <c r="D870" s="95">
        <v>3215062</v>
      </c>
      <c r="E870" s="95">
        <v>2</v>
      </c>
      <c r="F870" s="95"/>
      <c r="G870" s="95">
        <v>11300</v>
      </c>
      <c r="H870" s="95" t="s">
        <v>29</v>
      </c>
      <c r="I870" s="95"/>
      <c r="J870" s="95" t="s">
        <v>114</v>
      </c>
      <c r="K870" s="95" t="b">
        <v>1</v>
      </c>
      <c r="L870" s="95">
        <v>10</v>
      </c>
      <c r="M870" s="96">
        <v>2035</v>
      </c>
      <c r="N870" s="97">
        <v>11787343</v>
      </c>
      <c r="O870" s="98">
        <v>46020</v>
      </c>
      <c r="P870" s="98">
        <v>46020</v>
      </c>
      <c r="Q870" s="99">
        <v>0</v>
      </c>
    </row>
    <row r="871" spans="1:17">
      <c r="A871" s="7">
        <v>2025</v>
      </c>
      <c r="B871" s="8" t="s">
        <v>434</v>
      </c>
      <c r="C871" s="94" t="s">
        <v>435</v>
      </c>
      <c r="D871" s="95">
        <v>3215062</v>
      </c>
      <c r="E871" s="95">
        <v>2</v>
      </c>
      <c r="F871" s="95"/>
      <c r="G871" s="95">
        <v>11300</v>
      </c>
      <c r="H871" s="95" t="s">
        <v>29</v>
      </c>
      <c r="I871" s="95"/>
      <c r="J871" s="95" t="s">
        <v>114</v>
      </c>
      <c r="K871" s="95" t="b">
        <v>1</v>
      </c>
      <c r="L871" s="95">
        <v>3</v>
      </c>
      <c r="M871" s="96">
        <v>2028</v>
      </c>
      <c r="N871" s="97">
        <v>9887343</v>
      </c>
      <c r="O871" s="98">
        <v>46020</v>
      </c>
      <c r="P871" s="98">
        <v>46020</v>
      </c>
      <c r="Q871" s="99">
        <v>0</v>
      </c>
    </row>
    <row r="872" spans="1:17">
      <c r="A872" s="7">
        <v>2025</v>
      </c>
      <c r="B872" s="8" t="s">
        <v>434</v>
      </c>
      <c r="C872" s="94" t="s">
        <v>435</v>
      </c>
      <c r="D872" s="95">
        <v>3215062</v>
      </c>
      <c r="E872" s="95">
        <v>2</v>
      </c>
      <c r="F872" s="95"/>
      <c r="G872" s="95">
        <v>11300</v>
      </c>
      <c r="H872" s="95" t="s">
        <v>29</v>
      </c>
      <c r="I872" s="95"/>
      <c r="J872" s="95" t="s">
        <v>114</v>
      </c>
      <c r="K872" s="95" t="b">
        <v>1</v>
      </c>
      <c r="L872" s="95">
        <v>11</v>
      </c>
      <c r="M872" s="96">
        <v>2036</v>
      </c>
      <c r="N872" s="97">
        <v>12082027</v>
      </c>
      <c r="O872" s="98">
        <v>46020</v>
      </c>
      <c r="P872" s="98">
        <v>46020</v>
      </c>
      <c r="Q872" s="99">
        <v>0</v>
      </c>
    </row>
    <row r="873" spans="1:17">
      <c r="A873" s="7">
        <v>2025</v>
      </c>
      <c r="B873" s="8" t="s">
        <v>434</v>
      </c>
      <c r="C873" s="94" t="s">
        <v>435</v>
      </c>
      <c r="D873" s="95">
        <v>3215062</v>
      </c>
      <c r="E873" s="95">
        <v>2</v>
      </c>
      <c r="F873" s="95"/>
      <c r="G873" s="95">
        <v>11300</v>
      </c>
      <c r="H873" s="95" t="s">
        <v>29</v>
      </c>
      <c r="I873" s="95"/>
      <c r="J873" s="95" t="s">
        <v>114</v>
      </c>
      <c r="K873" s="95" t="b">
        <v>1</v>
      </c>
      <c r="L873" s="95">
        <v>9</v>
      </c>
      <c r="M873" s="96">
        <v>2034</v>
      </c>
      <c r="N873" s="97">
        <v>11499847</v>
      </c>
      <c r="O873" s="98">
        <v>46020</v>
      </c>
      <c r="P873" s="98">
        <v>46020</v>
      </c>
      <c r="Q873" s="99">
        <v>0</v>
      </c>
    </row>
    <row r="874" spans="1:17">
      <c r="A874" s="7">
        <v>2025</v>
      </c>
      <c r="B874" s="8" t="s">
        <v>434</v>
      </c>
      <c r="C874" s="94" t="s">
        <v>435</v>
      </c>
      <c r="D874" s="95">
        <v>3215062</v>
      </c>
      <c r="E874" s="95">
        <v>2</v>
      </c>
      <c r="F874" s="95"/>
      <c r="G874" s="95">
        <v>11300</v>
      </c>
      <c r="H874" s="95" t="s">
        <v>29</v>
      </c>
      <c r="I874" s="95"/>
      <c r="J874" s="95" t="s">
        <v>114</v>
      </c>
      <c r="K874" s="95" t="b">
        <v>1</v>
      </c>
      <c r="L874" s="95">
        <v>2</v>
      </c>
      <c r="M874" s="96">
        <v>2027</v>
      </c>
      <c r="N874" s="97">
        <v>9618038</v>
      </c>
      <c r="O874" s="98">
        <v>46020</v>
      </c>
      <c r="P874" s="98">
        <v>46020</v>
      </c>
      <c r="Q874" s="99">
        <v>0</v>
      </c>
    </row>
    <row r="875" spans="1:17">
      <c r="A875" s="7">
        <v>2025</v>
      </c>
      <c r="B875" s="8" t="s">
        <v>434</v>
      </c>
      <c r="C875" s="94" t="s">
        <v>435</v>
      </c>
      <c r="D875" s="95">
        <v>3215062</v>
      </c>
      <c r="E875" s="95">
        <v>2</v>
      </c>
      <c r="F875" s="95"/>
      <c r="G875" s="95">
        <v>93110</v>
      </c>
      <c r="H875" s="95" t="s">
        <v>216</v>
      </c>
      <c r="I875" s="95"/>
      <c r="J875" s="95" t="s">
        <v>169</v>
      </c>
      <c r="K875" s="95" t="b">
        <v>0</v>
      </c>
      <c r="L875" s="95">
        <v>10</v>
      </c>
      <c r="M875" s="96">
        <v>2035</v>
      </c>
      <c r="N875" s="97">
        <v>0</v>
      </c>
      <c r="O875" s="98">
        <v>46020</v>
      </c>
      <c r="P875" s="98">
        <v>46020</v>
      </c>
      <c r="Q875" s="99">
        <v>0</v>
      </c>
    </row>
    <row r="876" spans="1:17">
      <c r="A876" s="7">
        <v>2025</v>
      </c>
      <c r="B876" s="8" t="s">
        <v>434</v>
      </c>
      <c r="C876" s="94" t="s">
        <v>435</v>
      </c>
      <c r="D876" s="95">
        <v>3215062</v>
      </c>
      <c r="E876" s="95">
        <v>2</v>
      </c>
      <c r="F876" s="95"/>
      <c r="G876" s="95">
        <v>93110</v>
      </c>
      <c r="H876" s="95" t="s">
        <v>216</v>
      </c>
      <c r="I876" s="95"/>
      <c r="J876" s="95" t="s">
        <v>169</v>
      </c>
      <c r="K876" s="95" t="b">
        <v>0</v>
      </c>
      <c r="L876" s="95">
        <v>3</v>
      </c>
      <c r="M876" s="96">
        <v>2028</v>
      </c>
      <c r="N876" s="97">
        <v>0</v>
      </c>
      <c r="O876" s="98">
        <v>46020</v>
      </c>
      <c r="P876" s="98">
        <v>46020</v>
      </c>
      <c r="Q876" s="99">
        <v>0</v>
      </c>
    </row>
    <row r="877" spans="1:17">
      <c r="A877" s="7">
        <v>2025</v>
      </c>
      <c r="B877" s="8" t="s">
        <v>434</v>
      </c>
      <c r="C877" s="94" t="s">
        <v>435</v>
      </c>
      <c r="D877" s="95">
        <v>3215062</v>
      </c>
      <c r="E877" s="95">
        <v>2</v>
      </c>
      <c r="F877" s="95"/>
      <c r="G877" s="95">
        <v>93110</v>
      </c>
      <c r="H877" s="95" t="s">
        <v>216</v>
      </c>
      <c r="I877" s="95"/>
      <c r="J877" s="95" t="s">
        <v>169</v>
      </c>
      <c r="K877" s="95" t="b">
        <v>0</v>
      </c>
      <c r="L877" s="95">
        <v>5</v>
      </c>
      <c r="M877" s="96">
        <v>2030</v>
      </c>
      <c r="N877" s="97">
        <v>0</v>
      </c>
      <c r="O877" s="98">
        <v>46020</v>
      </c>
      <c r="P877" s="98">
        <v>46020</v>
      </c>
      <c r="Q877" s="99">
        <v>0</v>
      </c>
    </row>
    <row r="878" spans="1:17">
      <c r="A878" s="7">
        <v>2025</v>
      </c>
      <c r="B878" s="8" t="s">
        <v>434</v>
      </c>
      <c r="C878" s="94" t="s">
        <v>435</v>
      </c>
      <c r="D878" s="95">
        <v>3215062</v>
      </c>
      <c r="E878" s="95">
        <v>2</v>
      </c>
      <c r="F878" s="95"/>
      <c r="G878" s="95">
        <v>93110</v>
      </c>
      <c r="H878" s="95" t="s">
        <v>216</v>
      </c>
      <c r="I878" s="95"/>
      <c r="J878" s="95" t="s">
        <v>169</v>
      </c>
      <c r="K878" s="95" t="b">
        <v>0</v>
      </c>
      <c r="L878" s="95">
        <v>9</v>
      </c>
      <c r="M878" s="96">
        <v>2034</v>
      </c>
      <c r="N878" s="97">
        <v>0</v>
      </c>
      <c r="O878" s="98">
        <v>46020</v>
      </c>
      <c r="P878" s="98">
        <v>46020</v>
      </c>
      <c r="Q878" s="99">
        <v>0</v>
      </c>
    </row>
    <row r="879" spans="1:17">
      <c r="A879" s="7">
        <v>2025</v>
      </c>
      <c r="B879" s="8" t="s">
        <v>434</v>
      </c>
      <c r="C879" s="94" t="s">
        <v>435</v>
      </c>
      <c r="D879" s="95">
        <v>3215062</v>
      </c>
      <c r="E879" s="95">
        <v>2</v>
      </c>
      <c r="F879" s="95"/>
      <c r="G879" s="95">
        <v>93110</v>
      </c>
      <c r="H879" s="95" t="s">
        <v>216</v>
      </c>
      <c r="I879" s="95"/>
      <c r="J879" s="95" t="s">
        <v>169</v>
      </c>
      <c r="K879" s="95" t="b">
        <v>0</v>
      </c>
      <c r="L879" s="95">
        <v>2</v>
      </c>
      <c r="M879" s="96">
        <v>2027</v>
      </c>
      <c r="N879" s="97">
        <v>471126.54</v>
      </c>
      <c r="O879" s="98">
        <v>46020</v>
      </c>
      <c r="P879" s="98">
        <v>46020</v>
      </c>
      <c r="Q879" s="99">
        <v>0</v>
      </c>
    </row>
    <row r="880" spans="1:17">
      <c r="A880" s="7">
        <v>2025</v>
      </c>
      <c r="B880" s="8" t="s">
        <v>434</v>
      </c>
      <c r="C880" s="94" t="s">
        <v>435</v>
      </c>
      <c r="D880" s="95">
        <v>3215062</v>
      </c>
      <c r="E880" s="95">
        <v>2</v>
      </c>
      <c r="F880" s="95"/>
      <c r="G880" s="95">
        <v>93110</v>
      </c>
      <c r="H880" s="95" t="s">
        <v>216</v>
      </c>
      <c r="I880" s="95"/>
      <c r="J880" s="95" t="s">
        <v>169</v>
      </c>
      <c r="K880" s="95" t="b">
        <v>0</v>
      </c>
      <c r="L880" s="95">
        <v>11</v>
      </c>
      <c r="M880" s="96">
        <v>2036</v>
      </c>
      <c r="N880" s="97">
        <v>0</v>
      </c>
      <c r="O880" s="98">
        <v>46020</v>
      </c>
      <c r="P880" s="98">
        <v>46020</v>
      </c>
      <c r="Q880" s="99">
        <v>0</v>
      </c>
    </row>
    <row r="881" spans="1:17">
      <c r="A881" s="7">
        <v>2025</v>
      </c>
      <c r="B881" s="8" t="s">
        <v>434</v>
      </c>
      <c r="C881" s="94" t="s">
        <v>435</v>
      </c>
      <c r="D881" s="95">
        <v>3215062</v>
      </c>
      <c r="E881" s="95">
        <v>2</v>
      </c>
      <c r="F881" s="95"/>
      <c r="G881" s="95">
        <v>93110</v>
      </c>
      <c r="H881" s="95" t="s">
        <v>216</v>
      </c>
      <c r="I881" s="95"/>
      <c r="J881" s="95" t="s">
        <v>169</v>
      </c>
      <c r="K881" s="95" t="b">
        <v>0</v>
      </c>
      <c r="L881" s="95">
        <v>0</v>
      </c>
      <c r="M881" s="96">
        <v>2025</v>
      </c>
      <c r="N881" s="97">
        <v>1248098.18</v>
      </c>
      <c r="O881" s="98">
        <v>46020</v>
      </c>
      <c r="P881" s="98">
        <v>46020</v>
      </c>
      <c r="Q881" s="99">
        <v>0</v>
      </c>
    </row>
    <row r="882" spans="1:17">
      <c r="A882" s="7">
        <v>2025</v>
      </c>
      <c r="B882" s="8" t="s">
        <v>434</v>
      </c>
      <c r="C882" s="94" t="s">
        <v>435</v>
      </c>
      <c r="D882" s="95">
        <v>3215062</v>
      </c>
      <c r="E882" s="95">
        <v>2</v>
      </c>
      <c r="F882" s="95"/>
      <c r="G882" s="95">
        <v>93110</v>
      </c>
      <c r="H882" s="95" t="s">
        <v>216</v>
      </c>
      <c r="I882" s="95"/>
      <c r="J882" s="95" t="s">
        <v>169</v>
      </c>
      <c r="K882" s="95" t="b">
        <v>0</v>
      </c>
      <c r="L882" s="95">
        <v>1</v>
      </c>
      <c r="M882" s="96">
        <v>2026</v>
      </c>
      <c r="N882" s="97">
        <v>1018297.46</v>
      </c>
      <c r="O882" s="98">
        <v>46020</v>
      </c>
      <c r="P882" s="98">
        <v>46020</v>
      </c>
      <c r="Q882" s="99">
        <v>0</v>
      </c>
    </row>
    <row r="883" spans="1:17">
      <c r="A883" s="7">
        <v>2025</v>
      </c>
      <c r="B883" s="8" t="s">
        <v>434</v>
      </c>
      <c r="C883" s="94" t="s">
        <v>435</v>
      </c>
      <c r="D883" s="95">
        <v>3215062</v>
      </c>
      <c r="E883" s="95">
        <v>2</v>
      </c>
      <c r="F883" s="95"/>
      <c r="G883" s="95">
        <v>93110</v>
      </c>
      <c r="H883" s="95" t="s">
        <v>216</v>
      </c>
      <c r="I883" s="95"/>
      <c r="J883" s="95" t="s">
        <v>169</v>
      </c>
      <c r="K883" s="95" t="b">
        <v>0</v>
      </c>
      <c r="L883" s="95">
        <v>8</v>
      </c>
      <c r="M883" s="96">
        <v>2033</v>
      </c>
      <c r="N883" s="97">
        <v>0</v>
      </c>
      <c r="O883" s="98">
        <v>46020</v>
      </c>
      <c r="P883" s="98">
        <v>46020</v>
      </c>
      <c r="Q883" s="99">
        <v>0</v>
      </c>
    </row>
    <row r="884" spans="1:17">
      <c r="A884" s="7">
        <v>2025</v>
      </c>
      <c r="B884" s="8" t="s">
        <v>434</v>
      </c>
      <c r="C884" s="94" t="s">
        <v>435</v>
      </c>
      <c r="D884" s="95">
        <v>3215062</v>
      </c>
      <c r="E884" s="95">
        <v>2</v>
      </c>
      <c r="F884" s="95"/>
      <c r="G884" s="95">
        <v>93110</v>
      </c>
      <c r="H884" s="95" t="s">
        <v>216</v>
      </c>
      <c r="I884" s="95"/>
      <c r="J884" s="95" t="s">
        <v>169</v>
      </c>
      <c r="K884" s="95" t="b">
        <v>0</v>
      </c>
      <c r="L884" s="95">
        <v>7</v>
      </c>
      <c r="M884" s="96">
        <v>2032</v>
      </c>
      <c r="N884" s="97">
        <v>0</v>
      </c>
      <c r="O884" s="98">
        <v>46020</v>
      </c>
      <c r="P884" s="98">
        <v>46020</v>
      </c>
      <c r="Q884" s="99">
        <v>0</v>
      </c>
    </row>
    <row r="885" spans="1:17">
      <c r="A885" s="7">
        <v>2025</v>
      </c>
      <c r="B885" s="8" t="s">
        <v>434</v>
      </c>
      <c r="C885" s="94" t="s">
        <v>435</v>
      </c>
      <c r="D885" s="95">
        <v>3215062</v>
      </c>
      <c r="E885" s="95">
        <v>2</v>
      </c>
      <c r="F885" s="95"/>
      <c r="G885" s="95">
        <v>93110</v>
      </c>
      <c r="H885" s="95" t="s">
        <v>216</v>
      </c>
      <c r="I885" s="95"/>
      <c r="J885" s="95" t="s">
        <v>169</v>
      </c>
      <c r="K885" s="95" t="b">
        <v>0</v>
      </c>
      <c r="L885" s="95">
        <v>13</v>
      </c>
      <c r="M885" s="96">
        <v>2038</v>
      </c>
      <c r="N885" s="97">
        <v>0</v>
      </c>
      <c r="O885" s="98">
        <v>46020</v>
      </c>
      <c r="P885" s="98">
        <v>46020</v>
      </c>
      <c r="Q885" s="99">
        <v>0</v>
      </c>
    </row>
    <row r="886" spans="1:17">
      <c r="A886" s="7">
        <v>2025</v>
      </c>
      <c r="B886" s="8" t="s">
        <v>434</v>
      </c>
      <c r="C886" s="94" t="s">
        <v>435</v>
      </c>
      <c r="D886" s="95">
        <v>3215062</v>
      </c>
      <c r="E886" s="95">
        <v>2</v>
      </c>
      <c r="F886" s="95"/>
      <c r="G886" s="95">
        <v>93110</v>
      </c>
      <c r="H886" s="95" t="s">
        <v>216</v>
      </c>
      <c r="I886" s="95"/>
      <c r="J886" s="95" t="s">
        <v>169</v>
      </c>
      <c r="K886" s="95" t="b">
        <v>0</v>
      </c>
      <c r="L886" s="95">
        <v>6</v>
      </c>
      <c r="M886" s="96">
        <v>2031</v>
      </c>
      <c r="N886" s="97">
        <v>0</v>
      </c>
      <c r="O886" s="98">
        <v>46020</v>
      </c>
      <c r="P886" s="98">
        <v>46020</v>
      </c>
      <c r="Q886" s="99">
        <v>0</v>
      </c>
    </row>
    <row r="887" spans="1:17">
      <c r="A887" s="7">
        <v>2025</v>
      </c>
      <c r="B887" s="8" t="s">
        <v>434</v>
      </c>
      <c r="C887" s="94" t="s">
        <v>435</v>
      </c>
      <c r="D887" s="95">
        <v>3215062</v>
      </c>
      <c r="E887" s="95">
        <v>2</v>
      </c>
      <c r="F887" s="95"/>
      <c r="G887" s="95">
        <v>93110</v>
      </c>
      <c r="H887" s="95" t="s">
        <v>216</v>
      </c>
      <c r="I887" s="95"/>
      <c r="J887" s="95" t="s">
        <v>169</v>
      </c>
      <c r="K887" s="95" t="b">
        <v>0</v>
      </c>
      <c r="L887" s="95">
        <v>12</v>
      </c>
      <c r="M887" s="96">
        <v>2037</v>
      </c>
      <c r="N887" s="97">
        <v>0</v>
      </c>
      <c r="O887" s="98">
        <v>46020</v>
      </c>
      <c r="P887" s="98">
        <v>46020</v>
      </c>
      <c r="Q887" s="99">
        <v>0</v>
      </c>
    </row>
    <row r="888" spans="1:17">
      <c r="A888" s="7">
        <v>2025</v>
      </c>
      <c r="B888" s="8" t="s">
        <v>434</v>
      </c>
      <c r="C888" s="94" t="s">
        <v>435</v>
      </c>
      <c r="D888" s="95">
        <v>3215062</v>
      </c>
      <c r="E888" s="95">
        <v>2</v>
      </c>
      <c r="F888" s="95"/>
      <c r="G888" s="95">
        <v>93110</v>
      </c>
      <c r="H888" s="95" t="s">
        <v>216</v>
      </c>
      <c r="I888" s="95"/>
      <c r="J888" s="95" t="s">
        <v>169</v>
      </c>
      <c r="K888" s="95" t="b">
        <v>0</v>
      </c>
      <c r="L888" s="95">
        <v>4</v>
      </c>
      <c r="M888" s="96">
        <v>2029</v>
      </c>
      <c r="N888" s="97">
        <v>0</v>
      </c>
      <c r="O888" s="98">
        <v>46020</v>
      </c>
      <c r="P888" s="98">
        <v>46020</v>
      </c>
      <c r="Q888" s="99">
        <v>0</v>
      </c>
    </row>
    <row r="889" spans="1:17">
      <c r="A889" s="7">
        <v>2025</v>
      </c>
      <c r="B889" s="8" t="s">
        <v>434</v>
      </c>
      <c r="C889" s="94" t="s">
        <v>435</v>
      </c>
      <c r="D889" s="95">
        <v>3215062</v>
      </c>
      <c r="E889" s="95">
        <v>2</v>
      </c>
      <c r="F889" s="95"/>
      <c r="G889" s="95">
        <v>50000</v>
      </c>
      <c r="H889" s="95">
        <v>5</v>
      </c>
      <c r="I889" s="95" t="s">
        <v>459</v>
      </c>
      <c r="J889" s="95" t="s">
        <v>42</v>
      </c>
      <c r="K889" s="95" t="b">
        <v>0</v>
      </c>
      <c r="L889" s="95">
        <v>11</v>
      </c>
      <c r="M889" s="96">
        <v>2036</v>
      </c>
      <c r="N889" s="97">
        <v>74266</v>
      </c>
      <c r="O889" s="98">
        <v>46020</v>
      </c>
      <c r="P889" s="98">
        <v>46020</v>
      </c>
      <c r="Q889" s="99">
        <v>0</v>
      </c>
    </row>
    <row r="890" spans="1:17">
      <c r="A890" s="7">
        <v>2025</v>
      </c>
      <c r="B890" s="8" t="s">
        <v>434</v>
      </c>
      <c r="C890" s="94" t="s">
        <v>435</v>
      </c>
      <c r="D890" s="95">
        <v>3215062</v>
      </c>
      <c r="E890" s="95">
        <v>2</v>
      </c>
      <c r="F890" s="95"/>
      <c r="G890" s="95">
        <v>50000</v>
      </c>
      <c r="H890" s="95">
        <v>5</v>
      </c>
      <c r="I890" s="95" t="s">
        <v>459</v>
      </c>
      <c r="J890" s="95" t="s">
        <v>42</v>
      </c>
      <c r="K890" s="95" t="b">
        <v>0</v>
      </c>
      <c r="L890" s="95">
        <v>2</v>
      </c>
      <c r="M890" s="96">
        <v>2027</v>
      </c>
      <c r="N890" s="97">
        <v>803540.94</v>
      </c>
      <c r="O890" s="98">
        <v>46020</v>
      </c>
      <c r="P890" s="98">
        <v>46020</v>
      </c>
      <c r="Q890" s="99">
        <v>0</v>
      </c>
    </row>
    <row r="891" spans="1:17">
      <c r="A891" s="7">
        <v>2025</v>
      </c>
      <c r="B891" s="8" t="s">
        <v>434</v>
      </c>
      <c r="C891" s="94" t="s">
        <v>435</v>
      </c>
      <c r="D891" s="95">
        <v>3215062</v>
      </c>
      <c r="E891" s="95">
        <v>2</v>
      </c>
      <c r="F891" s="95"/>
      <c r="G891" s="95">
        <v>50000</v>
      </c>
      <c r="H891" s="95">
        <v>5</v>
      </c>
      <c r="I891" s="95" t="s">
        <v>459</v>
      </c>
      <c r="J891" s="95" t="s">
        <v>42</v>
      </c>
      <c r="K891" s="95" t="b">
        <v>0</v>
      </c>
      <c r="L891" s="95">
        <v>10</v>
      </c>
      <c r="M891" s="96">
        <v>2035</v>
      </c>
      <c r="N891" s="97">
        <v>191817.60000000001</v>
      </c>
      <c r="O891" s="98">
        <v>46020</v>
      </c>
      <c r="P891" s="98">
        <v>46020</v>
      </c>
      <c r="Q891" s="99">
        <v>0</v>
      </c>
    </row>
    <row r="892" spans="1:17">
      <c r="A892" s="7">
        <v>2025</v>
      </c>
      <c r="B892" s="8" t="s">
        <v>434</v>
      </c>
      <c r="C892" s="94" t="s">
        <v>435</v>
      </c>
      <c r="D892" s="95">
        <v>3215062</v>
      </c>
      <c r="E892" s="95">
        <v>2</v>
      </c>
      <c r="F892" s="95"/>
      <c r="G892" s="95">
        <v>50000</v>
      </c>
      <c r="H892" s="95">
        <v>5</v>
      </c>
      <c r="I892" s="95" t="s">
        <v>459</v>
      </c>
      <c r="J892" s="95" t="s">
        <v>42</v>
      </c>
      <c r="K892" s="95" t="b">
        <v>0</v>
      </c>
      <c r="L892" s="95">
        <v>8</v>
      </c>
      <c r="M892" s="96">
        <v>2033</v>
      </c>
      <c r="N892" s="97">
        <v>191817.60000000001</v>
      </c>
      <c r="O892" s="98">
        <v>46020</v>
      </c>
      <c r="P892" s="98">
        <v>46020</v>
      </c>
      <c r="Q892" s="99">
        <v>0</v>
      </c>
    </row>
    <row r="893" spans="1:17">
      <c r="A893" s="7">
        <v>2025</v>
      </c>
      <c r="B893" s="8" t="s">
        <v>434</v>
      </c>
      <c r="C893" s="94" t="s">
        <v>435</v>
      </c>
      <c r="D893" s="95">
        <v>3215062</v>
      </c>
      <c r="E893" s="95">
        <v>2</v>
      </c>
      <c r="F893" s="95"/>
      <c r="G893" s="95">
        <v>50000</v>
      </c>
      <c r="H893" s="95">
        <v>5</v>
      </c>
      <c r="I893" s="95" t="s">
        <v>459</v>
      </c>
      <c r="J893" s="95" t="s">
        <v>42</v>
      </c>
      <c r="K893" s="95" t="b">
        <v>0</v>
      </c>
      <c r="L893" s="95">
        <v>6</v>
      </c>
      <c r="M893" s="96">
        <v>2031</v>
      </c>
      <c r="N893" s="97">
        <v>191817.60000000001</v>
      </c>
      <c r="O893" s="98">
        <v>46020</v>
      </c>
      <c r="P893" s="98">
        <v>46020</v>
      </c>
      <c r="Q893" s="99">
        <v>0</v>
      </c>
    </row>
    <row r="894" spans="1:17">
      <c r="A894" s="7">
        <v>2025</v>
      </c>
      <c r="B894" s="8" t="s">
        <v>434</v>
      </c>
      <c r="C894" s="94" t="s">
        <v>435</v>
      </c>
      <c r="D894" s="95">
        <v>3215062</v>
      </c>
      <c r="E894" s="95">
        <v>2</v>
      </c>
      <c r="F894" s="95"/>
      <c r="G894" s="95">
        <v>50000</v>
      </c>
      <c r="H894" s="95">
        <v>5</v>
      </c>
      <c r="I894" s="95" t="s">
        <v>459</v>
      </c>
      <c r="J894" s="95" t="s">
        <v>42</v>
      </c>
      <c r="K894" s="95" t="b">
        <v>0</v>
      </c>
      <c r="L894" s="95">
        <v>3</v>
      </c>
      <c r="M894" s="96">
        <v>2028</v>
      </c>
      <c r="N894" s="97">
        <v>632593.19999999995</v>
      </c>
      <c r="O894" s="98">
        <v>46020</v>
      </c>
      <c r="P894" s="98">
        <v>46020</v>
      </c>
      <c r="Q894" s="99">
        <v>0</v>
      </c>
    </row>
    <row r="895" spans="1:17">
      <c r="A895" s="7">
        <v>2025</v>
      </c>
      <c r="B895" s="8" t="s">
        <v>434</v>
      </c>
      <c r="C895" s="94" t="s">
        <v>435</v>
      </c>
      <c r="D895" s="95">
        <v>3215062</v>
      </c>
      <c r="E895" s="95">
        <v>2</v>
      </c>
      <c r="F895" s="95"/>
      <c r="G895" s="95">
        <v>50000</v>
      </c>
      <c r="H895" s="95">
        <v>5</v>
      </c>
      <c r="I895" s="95" t="s">
        <v>459</v>
      </c>
      <c r="J895" s="95" t="s">
        <v>42</v>
      </c>
      <c r="K895" s="95" t="b">
        <v>0</v>
      </c>
      <c r="L895" s="95">
        <v>9</v>
      </c>
      <c r="M895" s="96">
        <v>2034</v>
      </c>
      <c r="N895" s="97">
        <v>191817.60000000001</v>
      </c>
      <c r="O895" s="98">
        <v>46020</v>
      </c>
      <c r="P895" s="98">
        <v>46020</v>
      </c>
      <c r="Q895" s="99">
        <v>0</v>
      </c>
    </row>
    <row r="896" spans="1:17">
      <c r="A896" s="7">
        <v>2025</v>
      </c>
      <c r="B896" s="8" t="s">
        <v>434</v>
      </c>
      <c r="C896" s="94" t="s">
        <v>435</v>
      </c>
      <c r="D896" s="95">
        <v>3215062</v>
      </c>
      <c r="E896" s="95">
        <v>2</v>
      </c>
      <c r="F896" s="95"/>
      <c r="G896" s="95">
        <v>50000</v>
      </c>
      <c r="H896" s="95">
        <v>5</v>
      </c>
      <c r="I896" s="95" t="s">
        <v>459</v>
      </c>
      <c r="J896" s="95" t="s">
        <v>42</v>
      </c>
      <c r="K896" s="95" t="b">
        <v>0</v>
      </c>
      <c r="L896" s="95">
        <v>5</v>
      </c>
      <c r="M896" s="96">
        <v>2030</v>
      </c>
      <c r="N896" s="97">
        <v>191817.60000000001</v>
      </c>
      <c r="O896" s="98">
        <v>46020</v>
      </c>
      <c r="P896" s="98">
        <v>46020</v>
      </c>
      <c r="Q896" s="99">
        <v>0</v>
      </c>
    </row>
    <row r="897" spans="1:17">
      <c r="A897" s="7">
        <v>2025</v>
      </c>
      <c r="B897" s="8" t="s">
        <v>434</v>
      </c>
      <c r="C897" s="94" t="s">
        <v>435</v>
      </c>
      <c r="D897" s="95">
        <v>3215062</v>
      </c>
      <c r="E897" s="95">
        <v>2</v>
      </c>
      <c r="F897" s="95"/>
      <c r="G897" s="95">
        <v>50000</v>
      </c>
      <c r="H897" s="95">
        <v>5</v>
      </c>
      <c r="I897" s="95" t="s">
        <v>459</v>
      </c>
      <c r="J897" s="95" t="s">
        <v>42</v>
      </c>
      <c r="K897" s="95" t="b">
        <v>0</v>
      </c>
      <c r="L897" s="95">
        <v>7</v>
      </c>
      <c r="M897" s="96">
        <v>2032</v>
      </c>
      <c r="N897" s="97">
        <v>191817.60000000001</v>
      </c>
      <c r="O897" s="98">
        <v>46020</v>
      </c>
      <c r="P897" s="98">
        <v>46020</v>
      </c>
      <c r="Q897" s="99">
        <v>0</v>
      </c>
    </row>
    <row r="898" spans="1:17">
      <c r="A898" s="7">
        <v>2025</v>
      </c>
      <c r="B898" s="8" t="s">
        <v>434</v>
      </c>
      <c r="C898" s="94" t="s">
        <v>435</v>
      </c>
      <c r="D898" s="95">
        <v>3215062</v>
      </c>
      <c r="E898" s="95">
        <v>2</v>
      </c>
      <c r="F898" s="95"/>
      <c r="G898" s="95">
        <v>50000</v>
      </c>
      <c r="H898" s="95">
        <v>5</v>
      </c>
      <c r="I898" s="95" t="s">
        <v>459</v>
      </c>
      <c r="J898" s="95" t="s">
        <v>42</v>
      </c>
      <c r="K898" s="95" t="b">
        <v>0</v>
      </c>
      <c r="L898" s="95">
        <v>0</v>
      </c>
      <c r="M898" s="96">
        <v>2025</v>
      </c>
      <c r="N898" s="97">
        <v>685984</v>
      </c>
      <c r="O898" s="98">
        <v>46020</v>
      </c>
      <c r="P898" s="98">
        <v>46020</v>
      </c>
      <c r="Q898" s="99">
        <v>0</v>
      </c>
    </row>
    <row r="899" spans="1:17">
      <c r="A899" s="7">
        <v>2025</v>
      </c>
      <c r="B899" s="8" t="s">
        <v>434</v>
      </c>
      <c r="C899" s="94" t="s">
        <v>435</v>
      </c>
      <c r="D899" s="95">
        <v>3215062</v>
      </c>
      <c r="E899" s="95">
        <v>2</v>
      </c>
      <c r="F899" s="95"/>
      <c r="G899" s="95">
        <v>50000</v>
      </c>
      <c r="H899" s="95">
        <v>5</v>
      </c>
      <c r="I899" s="95" t="s">
        <v>459</v>
      </c>
      <c r="J899" s="95" t="s">
        <v>42</v>
      </c>
      <c r="K899" s="95" t="b">
        <v>0</v>
      </c>
      <c r="L899" s="95">
        <v>4</v>
      </c>
      <c r="M899" s="96">
        <v>2029</v>
      </c>
      <c r="N899" s="97">
        <v>541436.11</v>
      </c>
      <c r="O899" s="98">
        <v>46020</v>
      </c>
      <c r="P899" s="98">
        <v>46020</v>
      </c>
      <c r="Q899" s="99">
        <v>0</v>
      </c>
    </row>
    <row r="900" spans="1:17">
      <c r="A900" s="7">
        <v>2025</v>
      </c>
      <c r="B900" s="8" t="s">
        <v>434</v>
      </c>
      <c r="C900" s="94" t="s">
        <v>435</v>
      </c>
      <c r="D900" s="95">
        <v>3215062</v>
      </c>
      <c r="E900" s="95">
        <v>2</v>
      </c>
      <c r="F900" s="95"/>
      <c r="G900" s="95">
        <v>50000</v>
      </c>
      <c r="H900" s="95">
        <v>5</v>
      </c>
      <c r="I900" s="95" t="s">
        <v>459</v>
      </c>
      <c r="J900" s="95" t="s">
        <v>42</v>
      </c>
      <c r="K900" s="95" t="b">
        <v>0</v>
      </c>
      <c r="L900" s="95">
        <v>13</v>
      </c>
      <c r="M900" s="96">
        <v>2038</v>
      </c>
      <c r="N900" s="97">
        <v>74266</v>
      </c>
      <c r="O900" s="98">
        <v>46020</v>
      </c>
      <c r="P900" s="98">
        <v>46020</v>
      </c>
      <c r="Q900" s="99">
        <v>0</v>
      </c>
    </row>
    <row r="901" spans="1:17">
      <c r="A901" s="7">
        <v>2025</v>
      </c>
      <c r="B901" s="8" t="s">
        <v>434</v>
      </c>
      <c r="C901" s="94" t="s">
        <v>435</v>
      </c>
      <c r="D901" s="95">
        <v>3215062</v>
      </c>
      <c r="E901" s="95">
        <v>2</v>
      </c>
      <c r="F901" s="95"/>
      <c r="G901" s="95">
        <v>50000</v>
      </c>
      <c r="H901" s="95">
        <v>5</v>
      </c>
      <c r="I901" s="95" t="s">
        <v>459</v>
      </c>
      <c r="J901" s="95" t="s">
        <v>42</v>
      </c>
      <c r="K901" s="95" t="b">
        <v>0</v>
      </c>
      <c r="L901" s="95">
        <v>12</v>
      </c>
      <c r="M901" s="96">
        <v>2037</v>
      </c>
      <c r="N901" s="97">
        <v>74266</v>
      </c>
      <c r="O901" s="98">
        <v>46020</v>
      </c>
      <c r="P901" s="98">
        <v>46020</v>
      </c>
      <c r="Q901" s="99">
        <v>0</v>
      </c>
    </row>
    <row r="902" spans="1:17">
      <c r="A902" s="7">
        <v>2025</v>
      </c>
      <c r="B902" s="8" t="s">
        <v>434</v>
      </c>
      <c r="C902" s="94" t="s">
        <v>435</v>
      </c>
      <c r="D902" s="95">
        <v>3215062</v>
      </c>
      <c r="E902" s="95">
        <v>2</v>
      </c>
      <c r="F902" s="95"/>
      <c r="G902" s="95">
        <v>50000</v>
      </c>
      <c r="H902" s="95">
        <v>5</v>
      </c>
      <c r="I902" s="95" t="s">
        <v>459</v>
      </c>
      <c r="J902" s="95" t="s">
        <v>42</v>
      </c>
      <c r="K902" s="95" t="b">
        <v>0</v>
      </c>
      <c r="L902" s="95">
        <v>1</v>
      </c>
      <c r="M902" s="96">
        <v>2026</v>
      </c>
      <c r="N902" s="97">
        <v>803535.6</v>
      </c>
      <c r="O902" s="98">
        <v>46020</v>
      </c>
      <c r="P902" s="98">
        <v>46020</v>
      </c>
      <c r="Q902" s="99">
        <v>0</v>
      </c>
    </row>
    <row r="903" spans="1:17">
      <c r="A903" s="7">
        <v>2025</v>
      </c>
      <c r="B903" s="8" t="s">
        <v>434</v>
      </c>
      <c r="C903" s="94" t="s">
        <v>435</v>
      </c>
      <c r="D903" s="95">
        <v>3215062</v>
      </c>
      <c r="E903" s="95">
        <v>2</v>
      </c>
      <c r="F903" s="95"/>
      <c r="G903" s="95">
        <v>110000</v>
      </c>
      <c r="H903" s="95">
        <v>11</v>
      </c>
      <c r="I903" s="95"/>
      <c r="J903" s="95" t="s">
        <v>102</v>
      </c>
      <c r="K903" s="95" t="b">
        <v>1</v>
      </c>
      <c r="L903" s="95">
        <v>8</v>
      </c>
      <c r="M903" s="96">
        <v>2033</v>
      </c>
      <c r="N903" s="97">
        <v>0</v>
      </c>
      <c r="O903" s="98">
        <v>46020</v>
      </c>
      <c r="P903" s="98">
        <v>46020</v>
      </c>
      <c r="Q903" s="99">
        <v>0</v>
      </c>
    </row>
    <row r="904" spans="1:17">
      <c r="A904" s="7">
        <v>2025</v>
      </c>
      <c r="B904" s="8" t="s">
        <v>434</v>
      </c>
      <c r="C904" s="94" t="s">
        <v>435</v>
      </c>
      <c r="D904" s="95">
        <v>3215062</v>
      </c>
      <c r="E904" s="95">
        <v>2</v>
      </c>
      <c r="F904" s="95"/>
      <c r="G904" s="95">
        <v>110000</v>
      </c>
      <c r="H904" s="95">
        <v>11</v>
      </c>
      <c r="I904" s="95"/>
      <c r="J904" s="95" t="s">
        <v>102</v>
      </c>
      <c r="K904" s="95" t="b">
        <v>1</v>
      </c>
      <c r="L904" s="95">
        <v>2</v>
      </c>
      <c r="M904" s="96">
        <v>2027</v>
      </c>
      <c r="N904" s="97">
        <v>0</v>
      </c>
      <c r="O904" s="98">
        <v>46020</v>
      </c>
      <c r="P904" s="98">
        <v>46020</v>
      </c>
      <c r="Q904" s="99">
        <v>0</v>
      </c>
    </row>
    <row r="905" spans="1:17">
      <c r="A905" s="7">
        <v>2025</v>
      </c>
      <c r="B905" s="8" t="s">
        <v>434</v>
      </c>
      <c r="C905" s="94" t="s">
        <v>435</v>
      </c>
      <c r="D905" s="95">
        <v>3215062</v>
      </c>
      <c r="E905" s="95">
        <v>2</v>
      </c>
      <c r="F905" s="95"/>
      <c r="G905" s="95">
        <v>110000</v>
      </c>
      <c r="H905" s="95">
        <v>11</v>
      </c>
      <c r="I905" s="95"/>
      <c r="J905" s="95" t="s">
        <v>102</v>
      </c>
      <c r="K905" s="95" t="b">
        <v>1</v>
      </c>
      <c r="L905" s="95">
        <v>13</v>
      </c>
      <c r="M905" s="96">
        <v>2038</v>
      </c>
      <c r="N905" s="97">
        <v>0</v>
      </c>
      <c r="O905" s="98">
        <v>46020</v>
      </c>
      <c r="P905" s="98">
        <v>46020</v>
      </c>
      <c r="Q905" s="99">
        <v>0</v>
      </c>
    </row>
    <row r="906" spans="1:17">
      <c r="A906" s="7">
        <v>2025</v>
      </c>
      <c r="B906" s="8" t="s">
        <v>434</v>
      </c>
      <c r="C906" s="94" t="s">
        <v>435</v>
      </c>
      <c r="D906" s="95">
        <v>3215062</v>
      </c>
      <c r="E906" s="95">
        <v>2</v>
      </c>
      <c r="F906" s="95"/>
      <c r="G906" s="95">
        <v>110000</v>
      </c>
      <c r="H906" s="95">
        <v>11</v>
      </c>
      <c r="I906" s="95"/>
      <c r="J906" s="95" t="s">
        <v>102</v>
      </c>
      <c r="K906" s="95" t="b">
        <v>1</v>
      </c>
      <c r="L906" s="95">
        <v>5</v>
      </c>
      <c r="M906" s="96">
        <v>2030</v>
      </c>
      <c r="N906" s="97">
        <v>0</v>
      </c>
      <c r="O906" s="98">
        <v>46020</v>
      </c>
      <c r="P906" s="98">
        <v>46020</v>
      </c>
      <c r="Q906" s="99">
        <v>0</v>
      </c>
    </row>
    <row r="907" spans="1:17">
      <c r="A907" s="7">
        <v>2025</v>
      </c>
      <c r="B907" s="8" t="s">
        <v>434</v>
      </c>
      <c r="C907" s="94" t="s">
        <v>435</v>
      </c>
      <c r="D907" s="95">
        <v>3215062</v>
      </c>
      <c r="E907" s="95">
        <v>2</v>
      </c>
      <c r="F907" s="95"/>
      <c r="G907" s="95">
        <v>110000</v>
      </c>
      <c r="H907" s="95">
        <v>11</v>
      </c>
      <c r="I907" s="95"/>
      <c r="J907" s="95" t="s">
        <v>102</v>
      </c>
      <c r="K907" s="95" t="b">
        <v>1</v>
      </c>
      <c r="L907" s="95">
        <v>10</v>
      </c>
      <c r="M907" s="96">
        <v>2035</v>
      </c>
      <c r="N907" s="97">
        <v>0</v>
      </c>
      <c r="O907" s="98">
        <v>46020</v>
      </c>
      <c r="P907" s="98">
        <v>46020</v>
      </c>
      <c r="Q907" s="99">
        <v>0</v>
      </c>
    </row>
    <row r="908" spans="1:17">
      <c r="A908" s="7">
        <v>2025</v>
      </c>
      <c r="B908" s="8" t="s">
        <v>434</v>
      </c>
      <c r="C908" s="94" t="s">
        <v>435</v>
      </c>
      <c r="D908" s="95">
        <v>3215062</v>
      </c>
      <c r="E908" s="95">
        <v>2</v>
      </c>
      <c r="F908" s="95"/>
      <c r="G908" s="95">
        <v>110000</v>
      </c>
      <c r="H908" s="95">
        <v>11</v>
      </c>
      <c r="I908" s="95"/>
      <c r="J908" s="95" t="s">
        <v>102</v>
      </c>
      <c r="K908" s="95" t="b">
        <v>1</v>
      </c>
      <c r="L908" s="95">
        <v>0</v>
      </c>
      <c r="M908" s="96">
        <v>2025</v>
      </c>
      <c r="N908" s="97">
        <v>0</v>
      </c>
      <c r="O908" s="98">
        <v>46020</v>
      </c>
      <c r="P908" s="98">
        <v>46020</v>
      </c>
      <c r="Q908" s="99">
        <v>0</v>
      </c>
    </row>
    <row r="909" spans="1:17">
      <c r="A909" s="7">
        <v>2025</v>
      </c>
      <c r="B909" s="8" t="s">
        <v>434</v>
      </c>
      <c r="C909" s="94" t="s">
        <v>435</v>
      </c>
      <c r="D909" s="95">
        <v>3215062</v>
      </c>
      <c r="E909" s="95">
        <v>2</v>
      </c>
      <c r="F909" s="95"/>
      <c r="G909" s="95">
        <v>110000</v>
      </c>
      <c r="H909" s="95">
        <v>11</v>
      </c>
      <c r="I909" s="95"/>
      <c r="J909" s="95" t="s">
        <v>102</v>
      </c>
      <c r="K909" s="95" t="b">
        <v>1</v>
      </c>
      <c r="L909" s="95">
        <v>6</v>
      </c>
      <c r="M909" s="96">
        <v>2031</v>
      </c>
      <c r="N909" s="97">
        <v>0</v>
      </c>
      <c r="O909" s="98">
        <v>46020</v>
      </c>
      <c r="P909" s="98">
        <v>46020</v>
      </c>
      <c r="Q909" s="99">
        <v>0</v>
      </c>
    </row>
    <row r="910" spans="1:17">
      <c r="A910" s="7">
        <v>2025</v>
      </c>
      <c r="B910" s="8" t="s">
        <v>434</v>
      </c>
      <c r="C910" s="94" t="s">
        <v>435</v>
      </c>
      <c r="D910" s="95">
        <v>3215062</v>
      </c>
      <c r="E910" s="95">
        <v>2</v>
      </c>
      <c r="F910" s="95"/>
      <c r="G910" s="95">
        <v>110000</v>
      </c>
      <c r="H910" s="95">
        <v>11</v>
      </c>
      <c r="I910" s="95"/>
      <c r="J910" s="95" t="s">
        <v>102</v>
      </c>
      <c r="K910" s="95" t="b">
        <v>1</v>
      </c>
      <c r="L910" s="95">
        <v>11</v>
      </c>
      <c r="M910" s="96">
        <v>2036</v>
      </c>
      <c r="N910" s="97">
        <v>0</v>
      </c>
      <c r="O910" s="98">
        <v>46020</v>
      </c>
      <c r="P910" s="98">
        <v>46020</v>
      </c>
      <c r="Q910" s="99">
        <v>0</v>
      </c>
    </row>
    <row r="911" spans="1:17">
      <c r="A911" s="7">
        <v>2025</v>
      </c>
      <c r="B911" s="8" t="s">
        <v>434</v>
      </c>
      <c r="C911" s="94" t="s">
        <v>435</v>
      </c>
      <c r="D911" s="95">
        <v>3215062</v>
      </c>
      <c r="E911" s="95">
        <v>2</v>
      </c>
      <c r="F911" s="95"/>
      <c r="G911" s="95">
        <v>110000</v>
      </c>
      <c r="H911" s="95">
        <v>11</v>
      </c>
      <c r="I911" s="95"/>
      <c r="J911" s="95" t="s">
        <v>102</v>
      </c>
      <c r="K911" s="95" t="b">
        <v>1</v>
      </c>
      <c r="L911" s="95">
        <v>3</v>
      </c>
      <c r="M911" s="96">
        <v>2028</v>
      </c>
      <c r="N911" s="97">
        <v>0</v>
      </c>
      <c r="O911" s="98">
        <v>46020</v>
      </c>
      <c r="P911" s="98">
        <v>46020</v>
      </c>
      <c r="Q911" s="99">
        <v>0</v>
      </c>
    </row>
    <row r="912" spans="1:17">
      <c r="A912" s="7">
        <v>2025</v>
      </c>
      <c r="B912" s="8" t="s">
        <v>434</v>
      </c>
      <c r="C912" s="94" t="s">
        <v>435</v>
      </c>
      <c r="D912" s="95">
        <v>3215062</v>
      </c>
      <c r="E912" s="95">
        <v>2</v>
      </c>
      <c r="F912" s="95"/>
      <c r="G912" s="95">
        <v>110000</v>
      </c>
      <c r="H912" s="95">
        <v>11</v>
      </c>
      <c r="I912" s="95"/>
      <c r="J912" s="95" t="s">
        <v>102</v>
      </c>
      <c r="K912" s="95" t="b">
        <v>1</v>
      </c>
      <c r="L912" s="95">
        <v>9</v>
      </c>
      <c r="M912" s="96">
        <v>2034</v>
      </c>
      <c r="N912" s="97">
        <v>0</v>
      </c>
      <c r="O912" s="98">
        <v>46020</v>
      </c>
      <c r="P912" s="98">
        <v>46020</v>
      </c>
      <c r="Q912" s="99">
        <v>0</v>
      </c>
    </row>
    <row r="913" spans="1:17">
      <c r="A913" s="7">
        <v>2025</v>
      </c>
      <c r="B913" s="8" t="s">
        <v>434</v>
      </c>
      <c r="C913" s="94" t="s">
        <v>435</v>
      </c>
      <c r="D913" s="95">
        <v>3215062</v>
      </c>
      <c r="E913" s="95">
        <v>2</v>
      </c>
      <c r="F913" s="95"/>
      <c r="G913" s="95">
        <v>110000</v>
      </c>
      <c r="H913" s="95">
        <v>11</v>
      </c>
      <c r="I913" s="95"/>
      <c r="J913" s="95" t="s">
        <v>102</v>
      </c>
      <c r="K913" s="95" t="b">
        <v>1</v>
      </c>
      <c r="L913" s="95">
        <v>7</v>
      </c>
      <c r="M913" s="96">
        <v>2032</v>
      </c>
      <c r="N913" s="97">
        <v>0</v>
      </c>
      <c r="O913" s="98">
        <v>46020</v>
      </c>
      <c r="P913" s="98">
        <v>46020</v>
      </c>
      <c r="Q913" s="99">
        <v>0</v>
      </c>
    </row>
    <row r="914" spans="1:17">
      <c r="A914" s="7">
        <v>2025</v>
      </c>
      <c r="B914" s="8" t="s">
        <v>434</v>
      </c>
      <c r="C914" s="94" t="s">
        <v>435</v>
      </c>
      <c r="D914" s="95">
        <v>3215062</v>
      </c>
      <c r="E914" s="95">
        <v>2</v>
      </c>
      <c r="F914" s="95"/>
      <c r="G914" s="95">
        <v>110000</v>
      </c>
      <c r="H914" s="95">
        <v>11</v>
      </c>
      <c r="I914" s="95"/>
      <c r="J914" s="95" t="s">
        <v>102</v>
      </c>
      <c r="K914" s="95" t="b">
        <v>1</v>
      </c>
      <c r="L914" s="95">
        <v>4</v>
      </c>
      <c r="M914" s="96">
        <v>2029</v>
      </c>
      <c r="N914" s="97">
        <v>0</v>
      </c>
      <c r="O914" s="98">
        <v>46020</v>
      </c>
      <c r="P914" s="98">
        <v>46020</v>
      </c>
      <c r="Q914" s="99">
        <v>0</v>
      </c>
    </row>
    <row r="915" spans="1:17">
      <c r="A915" s="7">
        <v>2025</v>
      </c>
      <c r="B915" s="8" t="s">
        <v>434</v>
      </c>
      <c r="C915" s="94" t="s">
        <v>435</v>
      </c>
      <c r="D915" s="95">
        <v>3215062</v>
      </c>
      <c r="E915" s="95">
        <v>2</v>
      </c>
      <c r="F915" s="95"/>
      <c r="G915" s="95">
        <v>110000</v>
      </c>
      <c r="H915" s="95">
        <v>11</v>
      </c>
      <c r="I915" s="95"/>
      <c r="J915" s="95" t="s">
        <v>102</v>
      </c>
      <c r="K915" s="95" t="b">
        <v>1</v>
      </c>
      <c r="L915" s="95">
        <v>1</v>
      </c>
      <c r="M915" s="96">
        <v>2026</v>
      </c>
      <c r="N915" s="97">
        <v>0</v>
      </c>
      <c r="O915" s="98">
        <v>46020</v>
      </c>
      <c r="P915" s="98">
        <v>46020</v>
      </c>
      <c r="Q915" s="99">
        <v>0</v>
      </c>
    </row>
    <row r="916" spans="1:17">
      <c r="A916" s="7">
        <v>2025</v>
      </c>
      <c r="B916" s="8" t="s">
        <v>434</v>
      </c>
      <c r="C916" s="94" t="s">
        <v>435</v>
      </c>
      <c r="D916" s="95">
        <v>3215062</v>
      </c>
      <c r="E916" s="95">
        <v>2</v>
      </c>
      <c r="F916" s="95"/>
      <c r="G916" s="95">
        <v>110000</v>
      </c>
      <c r="H916" s="95">
        <v>11</v>
      </c>
      <c r="I916" s="95"/>
      <c r="J916" s="95" t="s">
        <v>102</v>
      </c>
      <c r="K916" s="95" t="b">
        <v>1</v>
      </c>
      <c r="L916" s="95">
        <v>12</v>
      </c>
      <c r="M916" s="96">
        <v>2037</v>
      </c>
      <c r="N916" s="97">
        <v>0</v>
      </c>
      <c r="O916" s="98">
        <v>46020</v>
      </c>
      <c r="P916" s="98">
        <v>46020</v>
      </c>
      <c r="Q916" s="99">
        <v>0</v>
      </c>
    </row>
    <row r="917" spans="1:17">
      <c r="A917" s="7">
        <v>2025</v>
      </c>
      <c r="B917" s="8" t="s">
        <v>434</v>
      </c>
      <c r="C917" s="94" t="s">
        <v>435</v>
      </c>
      <c r="D917" s="95">
        <v>3215062</v>
      </c>
      <c r="E917" s="95">
        <v>2</v>
      </c>
      <c r="F917" s="95"/>
      <c r="G917" s="95">
        <v>11100</v>
      </c>
      <c r="H917" s="95" t="s">
        <v>27</v>
      </c>
      <c r="I917" s="95"/>
      <c r="J917" s="95" t="s">
        <v>112</v>
      </c>
      <c r="K917" s="95" t="b">
        <v>1</v>
      </c>
      <c r="L917" s="95">
        <v>13</v>
      </c>
      <c r="M917" s="96">
        <v>2038</v>
      </c>
      <c r="N917" s="97">
        <v>30733158</v>
      </c>
      <c r="O917" s="98">
        <v>46020</v>
      </c>
      <c r="P917" s="98">
        <v>46020</v>
      </c>
      <c r="Q917" s="99">
        <v>0</v>
      </c>
    </row>
    <row r="918" spans="1:17">
      <c r="A918" s="7">
        <v>2025</v>
      </c>
      <c r="B918" s="8" t="s">
        <v>434</v>
      </c>
      <c r="C918" s="94" t="s">
        <v>435</v>
      </c>
      <c r="D918" s="95">
        <v>3215062</v>
      </c>
      <c r="E918" s="95">
        <v>2</v>
      </c>
      <c r="F918" s="95"/>
      <c r="G918" s="95">
        <v>11100</v>
      </c>
      <c r="H918" s="95" t="s">
        <v>27</v>
      </c>
      <c r="I918" s="95"/>
      <c r="J918" s="95" t="s">
        <v>112</v>
      </c>
      <c r="K918" s="95" t="b">
        <v>1</v>
      </c>
      <c r="L918" s="95">
        <v>7</v>
      </c>
      <c r="M918" s="96">
        <v>2032</v>
      </c>
      <c r="N918" s="97">
        <v>26501105</v>
      </c>
      <c r="O918" s="98">
        <v>46020</v>
      </c>
      <c r="P918" s="98">
        <v>46020</v>
      </c>
      <c r="Q918" s="99">
        <v>0</v>
      </c>
    </row>
    <row r="919" spans="1:17">
      <c r="A919" s="7">
        <v>2025</v>
      </c>
      <c r="B919" s="8" t="s">
        <v>434</v>
      </c>
      <c r="C919" s="94" t="s">
        <v>435</v>
      </c>
      <c r="D919" s="95">
        <v>3215062</v>
      </c>
      <c r="E919" s="95">
        <v>2</v>
      </c>
      <c r="F919" s="95"/>
      <c r="G919" s="95">
        <v>11100</v>
      </c>
      <c r="H919" s="95" t="s">
        <v>27</v>
      </c>
      <c r="I919" s="95"/>
      <c r="J919" s="95" t="s">
        <v>112</v>
      </c>
      <c r="K919" s="95" t="b">
        <v>1</v>
      </c>
      <c r="L919" s="95">
        <v>12</v>
      </c>
      <c r="M919" s="96">
        <v>2037</v>
      </c>
      <c r="N919" s="97">
        <v>29983569</v>
      </c>
      <c r="O919" s="98">
        <v>46020</v>
      </c>
      <c r="P919" s="98">
        <v>46020</v>
      </c>
      <c r="Q919" s="99">
        <v>0</v>
      </c>
    </row>
    <row r="920" spans="1:17">
      <c r="A920" s="7">
        <v>2025</v>
      </c>
      <c r="B920" s="8" t="s">
        <v>434</v>
      </c>
      <c r="C920" s="94" t="s">
        <v>435</v>
      </c>
      <c r="D920" s="95">
        <v>3215062</v>
      </c>
      <c r="E920" s="95">
        <v>2</v>
      </c>
      <c r="F920" s="95"/>
      <c r="G920" s="95">
        <v>11100</v>
      </c>
      <c r="H920" s="95" t="s">
        <v>27</v>
      </c>
      <c r="I920" s="95"/>
      <c r="J920" s="95" t="s">
        <v>112</v>
      </c>
      <c r="K920" s="95" t="b">
        <v>1</v>
      </c>
      <c r="L920" s="95">
        <v>5</v>
      </c>
      <c r="M920" s="96">
        <v>2030</v>
      </c>
      <c r="N920" s="97">
        <v>25224134</v>
      </c>
      <c r="O920" s="98">
        <v>46020</v>
      </c>
      <c r="P920" s="98">
        <v>46020</v>
      </c>
      <c r="Q920" s="99">
        <v>0</v>
      </c>
    </row>
    <row r="921" spans="1:17">
      <c r="A921" s="7">
        <v>2025</v>
      </c>
      <c r="B921" s="8" t="s">
        <v>434</v>
      </c>
      <c r="C921" s="94" t="s">
        <v>435</v>
      </c>
      <c r="D921" s="95">
        <v>3215062</v>
      </c>
      <c r="E921" s="95">
        <v>2</v>
      </c>
      <c r="F921" s="95"/>
      <c r="G921" s="95">
        <v>11100</v>
      </c>
      <c r="H921" s="95" t="s">
        <v>27</v>
      </c>
      <c r="I921" s="95"/>
      <c r="J921" s="95" t="s">
        <v>112</v>
      </c>
      <c r="K921" s="95" t="b">
        <v>1</v>
      </c>
      <c r="L921" s="95">
        <v>0</v>
      </c>
      <c r="M921" s="96">
        <v>2025</v>
      </c>
      <c r="N921" s="97">
        <v>21822633.25</v>
      </c>
      <c r="O921" s="98">
        <v>46020</v>
      </c>
      <c r="P921" s="98">
        <v>46020</v>
      </c>
      <c r="Q921" s="99">
        <v>0</v>
      </c>
    </row>
    <row r="922" spans="1:17">
      <c r="A922" s="7">
        <v>2025</v>
      </c>
      <c r="B922" s="8" t="s">
        <v>434</v>
      </c>
      <c r="C922" s="94" t="s">
        <v>435</v>
      </c>
      <c r="D922" s="95">
        <v>3215062</v>
      </c>
      <c r="E922" s="95">
        <v>2</v>
      </c>
      <c r="F922" s="95"/>
      <c r="G922" s="95">
        <v>11100</v>
      </c>
      <c r="H922" s="95" t="s">
        <v>27</v>
      </c>
      <c r="I922" s="95"/>
      <c r="J922" s="95" t="s">
        <v>112</v>
      </c>
      <c r="K922" s="95" t="b">
        <v>1</v>
      </c>
      <c r="L922" s="95">
        <v>3</v>
      </c>
      <c r="M922" s="96">
        <v>2028</v>
      </c>
      <c r="N922" s="97">
        <v>23938629</v>
      </c>
      <c r="O922" s="98">
        <v>46020</v>
      </c>
      <c r="P922" s="98">
        <v>46020</v>
      </c>
      <c r="Q922" s="99">
        <v>0</v>
      </c>
    </row>
    <row r="923" spans="1:17">
      <c r="A923" s="7">
        <v>2025</v>
      </c>
      <c r="B923" s="8" t="s">
        <v>434</v>
      </c>
      <c r="C923" s="94" t="s">
        <v>435</v>
      </c>
      <c r="D923" s="95">
        <v>3215062</v>
      </c>
      <c r="E923" s="95">
        <v>2</v>
      </c>
      <c r="F923" s="95"/>
      <c r="G923" s="95">
        <v>11100</v>
      </c>
      <c r="H923" s="95" t="s">
        <v>27</v>
      </c>
      <c r="I923" s="95"/>
      <c r="J923" s="95" t="s">
        <v>112</v>
      </c>
      <c r="K923" s="95" t="b">
        <v>1</v>
      </c>
      <c r="L923" s="95">
        <v>2</v>
      </c>
      <c r="M923" s="96">
        <v>2027</v>
      </c>
      <c r="N923" s="97">
        <v>23286604</v>
      </c>
      <c r="O923" s="98">
        <v>46020</v>
      </c>
      <c r="P923" s="98">
        <v>46020</v>
      </c>
      <c r="Q923" s="99">
        <v>0</v>
      </c>
    </row>
    <row r="924" spans="1:17">
      <c r="A924" s="7">
        <v>2025</v>
      </c>
      <c r="B924" s="8" t="s">
        <v>434</v>
      </c>
      <c r="C924" s="94" t="s">
        <v>435</v>
      </c>
      <c r="D924" s="95">
        <v>3215062</v>
      </c>
      <c r="E924" s="95">
        <v>2</v>
      </c>
      <c r="F924" s="95"/>
      <c r="G924" s="95">
        <v>11100</v>
      </c>
      <c r="H924" s="95" t="s">
        <v>27</v>
      </c>
      <c r="I924" s="95"/>
      <c r="J924" s="95" t="s">
        <v>112</v>
      </c>
      <c r="K924" s="95" t="b">
        <v>1</v>
      </c>
      <c r="L924" s="95">
        <v>9</v>
      </c>
      <c r="M924" s="96">
        <v>2034</v>
      </c>
      <c r="N924" s="97">
        <v>27842724</v>
      </c>
      <c r="O924" s="98">
        <v>46020</v>
      </c>
      <c r="P924" s="98">
        <v>46020</v>
      </c>
      <c r="Q924" s="99">
        <v>0</v>
      </c>
    </row>
    <row r="925" spans="1:17">
      <c r="A925" s="7">
        <v>2025</v>
      </c>
      <c r="B925" s="8" t="s">
        <v>434</v>
      </c>
      <c r="C925" s="94" t="s">
        <v>435</v>
      </c>
      <c r="D925" s="95">
        <v>3215062</v>
      </c>
      <c r="E925" s="95">
        <v>2</v>
      </c>
      <c r="F925" s="95"/>
      <c r="G925" s="95">
        <v>11100</v>
      </c>
      <c r="H925" s="95" t="s">
        <v>27</v>
      </c>
      <c r="I925" s="95"/>
      <c r="J925" s="95" t="s">
        <v>112</v>
      </c>
      <c r="K925" s="95" t="b">
        <v>1</v>
      </c>
      <c r="L925" s="95">
        <v>4</v>
      </c>
      <c r="M925" s="96">
        <v>2029</v>
      </c>
      <c r="N925" s="97">
        <v>24608911</v>
      </c>
      <c r="O925" s="98">
        <v>46020</v>
      </c>
      <c r="P925" s="98">
        <v>46020</v>
      </c>
      <c r="Q925" s="99">
        <v>0</v>
      </c>
    </row>
    <row r="926" spans="1:17">
      <c r="A926" s="7">
        <v>2025</v>
      </c>
      <c r="B926" s="8" t="s">
        <v>434</v>
      </c>
      <c r="C926" s="94" t="s">
        <v>435</v>
      </c>
      <c r="D926" s="95">
        <v>3215062</v>
      </c>
      <c r="E926" s="95">
        <v>2</v>
      </c>
      <c r="F926" s="95"/>
      <c r="G926" s="95">
        <v>11100</v>
      </c>
      <c r="H926" s="95" t="s">
        <v>27</v>
      </c>
      <c r="I926" s="95"/>
      <c r="J926" s="95" t="s">
        <v>112</v>
      </c>
      <c r="K926" s="95" t="b">
        <v>1</v>
      </c>
      <c r="L926" s="95">
        <v>6</v>
      </c>
      <c r="M926" s="96">
        <v>2031</v>
      </c>
      <c r="N926" s="97">
        <v>25854737</v>
      </c>
      <c r="O926" s="98">
        <v>46020</v>
      </c>
      <c r="P926" s="98">
        <v>46020</v>
      </c>
      <c r="Q926" s="99">
        <v>0</v>
      </c>
    </row>
    <row r="927" spans="1:17">
      <c r="A927" s="7">
        <v>2025</v>
      </c>
      <c r="B927" s="8" t="s">
        <v>434</v>
      </c>
      <c r="C927" s="94" t="s">
        <v>435</v>
      </c>
      <c r="D927" s="95">
        <v>3215062</v>
      </c>
      <c r="E927" s="95">
        <v>2</v>
      </c>
      <c r="F927" s="95"/>
      <c r="G927" s="95">
        <v>11100</v>
      </c>
      <c r="H927" s="95" t="s">
        <v>27</v>
      </c>
      <c r="I927" s="95"/>
      <c r="J927" s="95" t="s">
        <v>112</v>
      </c>
      <c r="K927" s="95" t="b">
        <v>1</v>
      </c>
      <c r="L927" s="95">
        <v>8</v>
      </c>
      <c r="M927" s="96">
        <v>2033</v>
      </c>
      <c r="N927" s="97">
        <v>27163633</v>
      </c>
      <c r="O927" s="98">
        <v>46020</v>
      </c>
      <c r="P927" s="98">
        <v>46020</v>
      </c>
      <c r="Q927" s="99">
        <v>0</v>
      </c>
    </row>
    <row r="928" spans="1:17">
      <c r="A928" s="7">
        <v>2025</v>
      </c>
      <c r="B928" s="8" t="s">
        <v>434</v>
      </c>
      <c r="C928" s="94" t="s">
        <v>435</v>
      </c>
      <c r="D928" s="95">
        <v>3215062</v>
      </c>
      <c r="E928" s="95">
        <v>2</v>
      </c>
      <c r="F928" s="95"/>
      <c r="G928" s="95">
        <v>11100</v>
      </c>
      <c r="H928" s="95" t="s">
        <v>27</v>
      </c>
      <c r="I928" s="95"/>
      <c r="J928" s="95" t="s">
        <v>112</v>
      </c>
      <c r="K928" s="95" t="b">
        <v>1</v>
      </c>
      <c r="L928" s="95">
        <v>1</v>
      </c>
      <c r="M928" s="96">
        <v>2026</v>
      </c>
      <c r="N928" s="97">
        <v>22586425</v>
      </c>
      <c r="O928" s="98">
        <v>46020</v>
      </c>
      <c r="P928" s="98">
        <v>46020</v>
      </c>
      <c r="Q928" s="99">
        <v>0</v>
      </c>
    </row>
    <row r="929" spans="1:17">
      <c r="A929" s="7">
        <v>2025</v>
      </c>
      <c r="B929" s="8" t="s">
        <v>434</v>
      </c>
      <c r="C929" s="94" t="s">
        <v>435</v>
      </c>
      <c r="D929" s="95">
        <v>3215062</v>
      </c>
      <c r="E929" s="95">
        <v>2</v>
      </c>
      <c r="F929" s="95"/>
      <c r="G929" s="95">
        <v>11100</v>
      </c>
      <c r="H929" s="95" t="s">
        <v>27</v>
      </c>
      <c r="I929" s="95"/>
      <c r="J929" s="95" t="s">
        <v>112</v>
      </c>
      <c r="K929" s="95" t="b">
        <v>1</v>
      </c>
      <c r="L929" s="95">
        <v>10</v>
      </c>
      <c r="M929" s="96">
        <v>2035</v>
      </c>
      <c r="N929" s="97">
        <v>28538792</v>
      </c>
      <c r="O929" s="98">
        <v>46020</v>
      </c>
      <c r="P929" s="98">
        <v>46020</v>
      </c>
      <c r="Q929" s="99">
        <v>0</v>
      </c>
    </row>
    <row r="930" spans="1:17">
      <c r="A930" s="7">
        <v>2025</v>
      </c>
      <c r="B930" s="8" t="s">
        <v>434</v>
      </c>
      <c r="C930" s="94" t="s">
        <v>435</v>
      </c>
      <c r="D930" s="95">
        <v>3215062</v>
      </c>
      <c r="E930" s="95">
        <v>2</v>
      </c>
      <c r="F930" s="95"/>
      <c r="G930" s="95">
        <v>11100</v>
      </c>
      <c r="H930" s="95" t="s">
        <v>27</v>
      </c>
      <c r="I930" s="95"/>
      <c r="J930" s="95" t="s">
        <v>112</v>
      </c>
      <c r="K930" s="95" t="b">
        <v>1</v>
      </c>
      <c r="L930" s="95">
        <v>11</v>
      </c>
      <c r="M930" s="96">
        <v>2036</v>
      </c>
      <c r="N930" s="97">
        <v>29252262</v>
      </c>
      <c r="O930" s="98">
        <v>46020</v>
      </c>
      <c r="P930" s="98">
        <v>46020</v>
      </c>
      <c r="Q930" s="99">
        <v>0</v>
      </c>
    </row>
    <row r="931" spans="1:17">
      <c r="A931" s="7">
        <v>2025</v>
      </c>
      <c r="B931" s="8" t="s">
        <v>434</v>
      </c>
      <c r="C931" s="94" t="s">
        <v>435</v>
      </c>
      <c r="D931" s="95">
        <v>3215062</v>
      </c>
      <c r="E931" s="95">
        <v>2</v>
      </c>
      <c r="F931" s="95"/>
      <c r="G931" s="95">
        <v>81226</v>
      </c>
      <c r="H931" s="95" t="s">
        <v>206</v>
      </c>
      <c r="I931" s="95" t="s">
        <v>449</v>
      </c>
      <c r="J931" s="95" t="s">
        <v>154</v>
      </c>
      <c r="K931" s="95" t="b">
        <v>1</v>
      </c>
      <c r="L931" s="95">
        <v>3</v>
      </c>
      <c r="M931" s="96">
        <v>2028</v>
      </c>
      <c r="N931" s="97">
        <v>1.5900000000000001E-2</v>
      </c>
      <c r="O931" s="98">
        <v>46020</v>
      </c>
      <c r="P931" s="98">
        <v>46020</v>
      </c>
      <c r="Q931" s="99">
        <v>0</v>
      </c>
    </row>
    <row r="932" spans="1:17">
      <c r="A932" s="7">
        <v>2025</v>
      </c>
      <c r="B932" s="8" t="s">
        <v>434</v>
      </c>
      <c r="C932" s="94" t="s">
        <v>435</v>
      </c>
      <c r="D932" s="95">
        <v>3215062</v>
      </c>
      <c r="E932" s="95">
        <v>2</v>
      </c>
      <c r="F932" s="95"/>
      <c r="G932" s="95">
        <v>81226</v>
      </c>
      <c r="H932" s="95" t="s">
        <v>206</v>
      </c>
      <c r="I932" s="95" t="s">
        <v>449</v>
      </c>
      <c r="J932" s="95" t="s">
        <v>154</v>
      </c>
      <c r="K932" s="95" t="b">
        <v>1</v>
      </c>
      <c r="L932" s="95">
        <v>5</v>
      </c>
      <c r="M932" s="96">
        <v>2030</v>
      </c>
      <c r="N932" s="97">
        <v>5.5999999999999999E-3</v>
      </c>
      <c r="O932" s="98">
        <v>46020</v>
      </c>
      <c r="P932" s="98">
        <v>46020</v>
      </c>
      <c r="Q932" s="99">
        <v>0</v>
      </c>
    </row>
    <row r="933" spans="1:17">
      <c r="A933" s="7">
        <v>2025</v>
      </c>
      <c r="B933" s="8" t="s">
        <v>434</v>
      </c>
      <c r="C933" s="94" t="s">
        <v>435</v>
      </c>
      <c r="D933" s="95">
        <v>3215062</v>
      </c>
      <c r="E933" s="95">
        <v>2</v>
      </c>
      <c r="F933" s="95"/>
      <c r="G933" s="95">
        <v>81226</v>
      </c>
      <c r="H933" s="95" t="s">
        <v>206</v>
      </c>
      <c r="I933" s="95" t="s">
        <v>449</v>
      </c>
      <c r="J933" s="95" t="s">
        <v>154</v>
      </c>
      <c r="K933" s="95" t="b">
        <v>1</v>
      </c>
      <c r="L933" s="95">
        <v>2</v>
      </c>
      <c r="M933" s="96">
        <v>2027</v>
      </c>
      <c r="N933" s="97">
        <v>2.1100000000000001E-2</v>
      </c>
      <c r="O933" s="98">
        <v>46020</v>
      </c>
      <c r="P933" s="98">
        <v>46020</v>
      </c>
      <c r="Q933" s="99">
        <v>0</v>
      </c>
    </row>
    <row r="934" spans="1:17">
      <c r="A934" s="7">
        <v>2025</v>
      </c>
      <c r="B934" s="8" t="s">
        <v>434</v>
      </c>
      <c r="C934" s="94" t="s">
        <v>435</v>
      </c>
      <c r="D934" s="95">
        <v>3215062</v>
      </c>
      <c r="E934" s="95">
        <v>2</v>
      </c>
      <c r="F934" s="95"/>
      <c r="G934" s="95">
        <v>81226</v>
      </c>
      <c r="H934" s="95" t="s">
        <v>206</v>
      </c>
      <c r="I934" s="95" t="s">
        <v>449</v>
      </c>
      <c r="J934" s="95" t="s">
        <v>154</v>
      </c>
      <c r="K934" s="95" t="b">
        <v>1</v>
      </c>
      <c r="L934" s="95">
        <v>9</v>
      </c>
      <c r="M934" s="96">
        <v>2034</v>
      </c>
      <c r="N934" s="97">
        <v>6.7000000000000002E-3</v>
      </c>
      <c r="O934" s="98">
        <v>46020</v>
      </c>
      <c r="P934" s="98">
        <v>46020</v>
      </c>
      <c r="Q934" s="99">
        <v>0</v>
      </c>
    </row>
    <row r="935" spans="1:17">
      <c r="A935" s="7">
        <v>2025</v>
      </c>
      <c r="B935" s="8" t="s">
        <v>434</v>
      </c>
      <c r="C935" s="94" t="s">
        <v>435</v>
      </c>
      <c r="D935" s="95">
        <v>3215062</v>
      </c>
      <c r="E935" s="95">
        <v>2</v>
      </c>
      <c r="F935" s="95"/>
      <c r="G935" s="95">
        <v>81226</v>
      </c>
      <c r="H935" s="95" t="s">
        <v>206</v>
      </c>
      <c r="I935" s="95" t="s">
        <v>449</v>
      </c>
      <c r="J935" s="95" t="s">
        <v>154</v>
      </c>
      <c r="K935" s="95" t="b">
        <v>1</v>
      </c>
      <c r="L935" s="95">
        <v>0</v>
      </c>
      <c r="M935" s="96">
        <v>2025</v>
      </c>
      <c r="N935" s="97">
        <v>1.95E-2</v>
      </c>
      <c r="O935" s="98">
        <v>46020</v>
      </c>
      <c r="P935" s="98">
        <v>46020</v>
      </c>
      <c r="Q935" s="99">
        <v>0</v>
      </c>
    </row>
    <row r="936" spans="1:17">
      <c r="A936" s="7">
        <v>2025</v>
      </c>
      <c r="B936" s="8" t="s">
        <v>434</v>
      </c>
      <c r="C936" s="94" t="s">
        <v>435</v>
      </c>
      <c r="D936" s="95">
        <v>3215062</v>
      </c>
      <c r="E936" s="95">
        <v>2</v>
      </c>
      <c r="F936" s="95"/>
      <c r="G936" s="95">
        <v>81226</v>
      </c>
      <c r="H936" s="95" t="s">
        <v>206</v>
      </c>
      <c r="I936" s="95" t="s">
        <v>449</v>
      </c>
      <c r="J936" s="95" t="s">
        <v>154</v>
      </c>
      <c r="K936" s="95" t="b">
        <v>1</v>
      </c>
      <c r="L936" s="95">
        <v>13</v>
      </c>
      <c r="M936" s="96">
        <v>2038</v>
      </c>
      <c r="N936" s="97">
        <v>1.1999999999999999E-3</v>
      </c>
      <c r="O936" s="98">
        <v>46020</v>
      </c>
      <c r="P936" s="98">
        <v>46020</v>
      </c>
      <c r="Q936" s="99">
        <v>0</v>
      </c>
    </row>
    <row r="937" spans="1:17">
      <c r="A937" s="7">
        <v>2025</v>
      </c>
      <c r="B937" s="8" t="s">
        <v>434</v>
      </c>
      <c r="C937" s="94" t="s">
        <v>435</v>
      </c>
      <c r="D937" s="95">
        <v>3215062</v>
      </c>
      <c r="E937" s="95">
        <v>2</v>
      </c>
      <c r="F937" s="95"/>
      <c r="G937" s="95">
        <v>81226</v>
      </c>
      <c r="H937" s="95" t="s">
        <v>206</v>
      </c>
      <c r="I937" s="95" t="s">
        <v>449</v>
      </c>
      <c r="J937" s="95" t="s">
        <v>154</v>
      </c>
      <c r="K937" s="95" t="b">
        <v>1</v>
      </c>
      <c r="L937" s="95">
        <v>7</v>
      </c>
      <c r="M937" s="96">
        <v>2032</v>
      </c>
      <c r="N937" s="97">
        <v>4.5999999999999999E-3</v>
      </c>
      <c r="O937" s="98">
        <v>46020</v>
      </c>
      <c r="P937" s="98">
        <v>46020</v>
      </c>
      <c r="Q937" s="99">
        <v>0</v>
      </c>
    </row>
    <row r="938" spans="1:17">
      <c r="A938" s="7">
        <v>2025</v>
      </c>
      <c r="B938" s="8" t="s">
        <v>434</v>
      </c>
      <c r="C938" s="94" t="s">
        <v>435</v>
      </c>
      <c r="D938" s="95">
        <v>3215062</v>
      </c>
      <c r="E938" s="95">
        <v>2</v>
      </c>
      <c r="F938" s="95"/>
      <c r="G938" s="95">
        <v>81226</v>
      </c>
      <c r="H938" s="95" t="s">
        <v>206</v>
      </c>
      <c r="I938" s="95" t="s">
        <v>449</v>
      </c>
      <c r="J938" s="95" t="s">
        <v>154</v>
      </c>
      <c r="K938" s="95" t="b">
        <v>1</v>
      </c>
      <c r="L938" s="95">
        <v>12</v>
      </c>
      <c r="M938" s="96">
        <v>2037</v>
      </c>
      <c r="N938" s="97">
        <v>1.4E-3</v>
      </c>
      <c r="O938" s="98">
        <v>46020</v>
      </c>
      <c r="P938" s="98">
        <v>46020</v>
      </c>
      <c r="Q938" s="99">
        <v>0</v>
      </c>
    </row>
    <row r="939" spans="1:17">
      <c r="A939" s="7">
        <v>2025</v>
      </c>
      <c r="B939" s="8" t="s">
        <v>434</v>
      </c>
      <c r="C939" s="94" t="s">
        <v>435</v>
      </c>
      <c r="D939" s="95">
        <v>3215062</v>
      </c>
      <c r="E939" s="95">
        <v>2</v>
      </c>
      <c r="F939" s="95"/>
      <c r="G939" s="95">
        <v>81226</v>
      </c>
      <c r="H939" s="95" t="s">
        <v>206</v>
      </c>
      <c r="I939" s="95" t="s">
        <v>449</v>
      </c>
      <c r="J939" s="95" t="s">
        <v>154</v>
      </c>
      <c r="K939" s="95" t="b">
        <v>1</v>
      </c>
      <c r="L939" s="95">
        <v>11</v>
      </c>
      <c r="M939" s="96">
        <v>2036</v>
      </c>
      <c r="N939" s="97">
        <v>1.4E-3</v>
      </c>
      <c r="O939" s="98">
        <v>46020</v>
      </c>
      <c r="P939" s="98">
        <v>46020</v>
      </c>
      <c r="Q939" s="99">
        <v>0</v>
      </c>
    </row>
    <row r="940" spans="1:17">
      <c r="A940" s="7">
        <v>2025</v>
      </c>
      <c r="B940" s="8" t="s">
        <v>434</v>
      </c>
      <c r="C940" s="94" t="s">
        <v>435</v>
      </c>
      <c r="D940" s="95">
        <v>3215062</v>
      </c>
      <c r="E940" s="95">
        <v>2</v>
      </c>
      <c r="F940" s="95"/>
      <c r="G940" s="95">
        <v>81226</v>
      </c>
      <c r="H940" s="95" t="s">
        <v>206</v>
      </c>
      <c r="I940" s="95" t="s">
        <v>449</v>
      </c>
      <c r="J940" s="95" t="s">
        <v>154</v>
      </c>
      <c r="K940" s="95" t="b">
        <v>1</v>
      </c>
      <c r="L940" s="95">
        <v>8</v>
      </c>
      <c r="M940" s="96">
        <v>2033</v>
      </c>
      <c r="N940" s="97">
        <v>4.1000000000000003E-3</v>
      </c>
      <c r="O940" s="98">
        <v>46020</v>
      </c>
      <c r="P940" s="98">
        <v>46020</v>
      </c>
      <c r="Q940" s="99">
        <v>0</v>
      </c>
    </row>
    <row r="941" spans="1:17">
      <c r="A941" s="7">
        <v>2025</v>
      </c>
      <c r="B941" s="8" t="s">
        <v>434</v>
      </c>
      <c r="C941" s="94" t="s">
        <v>435</v>
      </c>
      <c r="D941" s="95">
        <v>3215062</v>
      </c>
      <c r="E941" s="95">
        <v>2</v>
      </c>
      <c r="F941" s="95"/>
      <c r="G941" s="95">
        <v>81226</v>
      </c>
      <c r="H941" s="95" t="s">
        <v>206</v>
      </c>
      <c r="I941" s="95" t="s">
        <v>449</v>
      </c>
      <c r="J941" s="95" t="s">
        <v>154</v>
      </c>
      <c r="K941" s="95" t="b">
        <v>1</v>
      </c>
      <c r="L941" s="95">
        <v>1</v>
      </c>
      <c r="M941" s="96">
        <v>2026</v>
      </c>
      <c r="N941" s="97">
        <v>2.2200000000000001E-2</v>
      </c>
      <c r="O941" s="98">
        <v>46020</v>
      </c>
      <c r="P941" s="98">
        <v>46020</v>
      </c>
      <c r="Q941" s="99">
        <v>0</v>
      </c>
    </row>
    <row r="942" spans="1:17">
      <c r="A942" s="7">
        <v>2025</v>
      </c>
      <c r="B942" s="8" t="s">
        <v>434</v>
      </c>
      <c r="C942" s="94" t="s">
        <v>435</v>
      </c>
      <c r="D942" s="95">
        <v>3215062</v>
      </c>
      <c r="E942" s="95">
        <v>2</v>
      </c>
      <c r="F942" s="95"/>
      <c r="G942" s="95">
        <v>81226</v>
      </c>
      <c r="H942" s="95" t="s">
        <v>206</v>
      </c>
      <c r="I942" s="95" t="s">
        <v>449</v>
      </c>
      <c r="J942" s="95" t="s">
        <v>154</v>
      </c>
      <c r="K942" s="95" t="b">
        <v>1</v>
      </c>
      <c r="L942" s="95">
        <v>10</v>
      </c>
      <c r="M942" s="96">
        <v>2035</v>
      </c>
      <c r="N942" s="97">
        <v>3.5999999999999999E-3</v>
      </c>
      <c r="O942" s="98">
        <v>46020</v>
      </c>
      <c r="P942" s="98">
        <v>46020</v>
      </c>
      <c r="Q942" s="99">
        <v>0</v>
      </c>
    </row>
    <row r="943" spans="1:17">
      <c r="A943" s="7">
        <v>2025</v>
      </c>
      <c r="B943" s="8" t="s">
        <v>434</v>
      </c>
      <c r="C943" s="94" t="s">
        <v>435</v>
      </c>
      <c r="D943" s="95">
        <v>3215062</v>
      </c>
      <c r="E943" s="95">
        <v>2</v>
      </c>
      <c r="F943" s="95"/>
      <c r="G943" s="95">
        <v>81226</v>
      </c>
      <c r="H943" s="95" t="s">
        <v>206</v>
      </c>
      <c r="I943" s="95" t="s">
        <v>449</v>
      </c>
      <c r="J943" s="95" t="s">
        <v>154</v>
      </c>
      <c r="K943" s="95" t="b">
        <v>1</v>
      </c>
      <c r="L943" s="95">
        <v>4</v>
      </c>
      <c r="M943" s="96">
        <v>2029</v>
      </c>
      <c r="N943" s="97">
        <v>1.29E-2</v>
      </c>
      <c r="O943" s="98">
        <v>46020</v>
      </c>
      <c r="P943" s="98">
        <v>46020</v>
      </c>
      <c r="Q943" s="99">
        <v>0</v>
      </c>
    </row>
    <row r="944" spans="1:17">
      <c r="A944" s="7">
        <v>2025</v>
      </c>
      <c r="B944" s="8" t="s">
        <v>434</v>
      </c>
      <c r="C944" s="94" t="s">
        <v>435</v>
      </c>
      <c r="D944" s="95">
        <v>3215062</v>
      </c>
      <c r="E944" s="95">
        <v>2</v>
      </c>
      <c r="F944" s="95"/>
      <c r="G944" s="95">
        <v>81226</v>
      </c>
      <c r="H944" s="95" t="s">
        <v>206</v>
      </c>
      <c r="I944" s="95" t="s">
        <v>449</v>
      </c>
      <c r="J944" s="95" t="s">
        <v>154</v>
      </c>
      <c r="K944" s="95" t="b">
        <v>1</v>
      </c>
      <c r="L944" s="95">
        <v>6</v>
      </c>
      <c r="M944" s="96">
        <v>2031</v>
      </c>
      <c r="N944" s="97">
        <v>5.1000000000000004E-3</v>
      </c>
      <c r="O944" s="98">
        <v>46020</v>
      </c>
      <c r="P944" s="98">
        <v>46020</v>
      </c>
      <c r="Q944" s="99">
        <v>0</v>
      </c>
    </row>
    <row r="945" spans="1:17">
      <c r="A945" s="7">
        <v>2025</v>
      </c>
      <c r="B945" s="8" t="s">
        <v>434</v>
      </c>
      <c r="C945" s="94" t="s">
        <v>435</v>
      </c>
      <c r="D945" s="95">
        <v>3215062</v>
      </c>
      <c r="E945" s="95">
        <v>2</v>
      </c>
      <c r="F945" s="95"/>
      <c r="G945" s="95">
        <v>51133</v>
      </c>
      <c r="H945" s="95" t="s">
        <v>204</v>
      </c>
      <c r="I945" s="95"/>
      <c r="J945" s="95" t="s">
        <v>146</v>
      </c>
      <c r="K945" s="95" t="b">
        <v>1</v>
      </c>
      <c r="L945" s="95">
        <v>1</v>
      </c>
      <c r="M945" s="96">
        <v>2026</v>
      </c>
      <c r="N945" s="97">
        <v>0</v>
      </c>
      <c r="O945" s="98">
        <v>46020</v>
      </c>
      <c r="P945" s="98">
        <v>46020</v>
      </c>
      <c r="Q945" s="99">
        <v>0</v>
      </c>
    </row>
    <row r="946" spans="1:17">
      <c r="A946" s="7">
        <v>2025</v>
      </c>
      <c r="B946" s="8" t="s">
        <v>434</v>
      </c>
      <c r="C946" s="94" t="s">
        <v>435</v>
      </c>
      <c r="D946" s="95">
        <v>3215062</v>
      </c>
      <c r="E946" s="95">
        <v>2</v>
      </c>
      <c r="F946" s="95"/>
      <c r="G946" s="95">
        <v>51133</v>
      </c>
      <c r="H946" s="95" t="s">
        <v>204</v>
      </c>
      <c r="I946" s="95"/>
      <c r="J946" s="95" t="s">
        <v>146</v>
      </c>
      <c r="K946" s="95" t="b">
        <v>1</v>
      </c>
      <c r="L946" s="95">
        <v>3</v>
      </c>
      <c r="M946" s="96">
        <v>2028</v>
      </c>
      <c r="N946" s="97">
        <v>0</v>
      </c>
      <c r="O946" s="98">
        <v>46020</v>
      </c>
      <c r="P946" s="98">
        <v>46020</v>
      </c>
      <c r="Q946" s="99">
        <v>0</v>
      </c>
    </row>
    <row r="947" spans="1:17">
      <c r="A947" s="7">
        <v>2025</v>
      </c>
      <c r="B947" s="8" t="s">
        <v>434</v>
      </c>
      <c r="C947" s="94" t="s">
        <v>435</v>
      </c>
      <c r="D947" s="95">
        <v>3215062</v>
      </c>
      <c r="E947" s="95">
        <v>2</v>
      </c>
      <c r="F947" s="95"/>
      <c r="G947" s="95">
        <v>51133</v>
      </c>
      <c r="H947" s="95" t="s">
        <v>204</v>
      </c>
      <c r="I947" s="95"/>
      <c r="J947" s="95" t="s">
        <v>146</v>
      </c>
      <c r="K947" s="95" t="b">
        <v>1</v>
      </c>
      <c r="L947" s="95">
        <v>5</v>
      </c>
      <c r="M947" s="96">
        <v>2030</v>
      </c>
      <c r="N947" s="97">
        <v>0</v>
      </c>
      <c r="O947" s="98">
        <v>46020</v>
      </c>
      <c r="P947" s="98">
        <v>46020</v>
      </c>
      <c r="Q947" s="99">
        <v>0</v>
      </c>
    </row>
    <row r="948" spans="1:17">
      <c r="A948" s="7">
        <v>2025</v>
      </c>
      <c r="B948" s="8" t="s">
        <v>434</v>
      </c>
      <c r="C948" s="94" t="s">
        <v>435</v>
      </c>
      <c r="D948" s="95">
        <v>3215062</v>
      </c>
      <c r="E948" s="95">
        <v>2</v>
      </c>
      <c r="F948" s="95"/>
      <c r="G948" s="95">
        <v>51133</v>
      </c>
      <c r="H948" s="95" t="s">
        <v>204</v>
      </c>
      <c r="I948" s="95"/>
      <c r="J948" s="95" t="s">
        <v>146</v>
      </c>
      <c r="K948" s="95" t="b">
        <v>1</v>
      </c>
      <c r="L948" s="95">
        <v>11</v>
      </c>
      <c r="M948" s="96">
        <v>2036</v>
      </c>
      <c r="N948" s="97">
        <v>0</v>
      </c>
      <c r="O948" s="98">
        <v>46020</v>
      </c>
      <c r="P948" s="98">
        <v>46020</v>
      </c>
      <c r="Q948" s="99">
        <v>0</v>
      </c>
    </row>
    <row r="949" spans="1:17">
      <c r="A949" s="7">
        <v>2025</v>
      </c>
      <c r="B949" s="8" t="s">
        <v>434</v>
      </c>
      <c r="C949" s="94" t="s">
        <v>435</v>
      </c>
      <c r="D949" s="95">
        <v>3215062</v>
      </c>
      <c r="E949" s="95">
        <v>2</v>
      </c>
      <c r="F949" s="95"/>
      <c r="G949" s="95">
        <v>51133</v>
      </c>
      <c r="H949" s="95" t="s">
        <v>204</v>
      </c>
      <c r="I949" s="95"/>
      <c r="J949" s="95" t="s">
        <v>146</v>
      </c>
      <c r="K949" s="95" t="b">
        <v>1</v>
      </c>
      <c r="L949" s="95">
        <v>0</v>
      </c>
      <c r="M949" s="96">
        <v>2025</v>
      </c>
      <c r="N949" s="97">
        <v>0</v>
      </c>
      <c r="O949" s="98">
        <v>46020</v>
      </c>
      <c r="P949" s="98">
        <v>46020</v>
      </c>
      <c r="Q949" s="99">
        <v>0</v>
      </c>
    </row>
    <row r="950" spans="1:17">
      <c r="A950" s="7">
        <v>2025</v>
      </c>
      <c r="B950" s="8" t="s">
        <v>434</v>
      </c>
      <c r="C950" s="94" t="s">
        <v>435</v>
      </c>
      <c r="D950" s="95">
        <v>3215062</v>
      </c>
      <c r="E950" s="95">
        <v>2</v>
      </c>
      <c r="F950" s="95"/>
      <c r="G950" s="95">
        <v>51133</v>
      </c>
      <c r="H950" s="95" t="s">
        <v>204</v>
      </c>
      <c r="I950" s="95"/>
      <c r="J950" s="95" t="s">
        <v>146</v>
      </c>
      <c r="K950" s="95" t="b">
        <v>1</v>
      </c>
      <c r="L950" s="95">
        <v>4</v>
      </c>
      <c r="M950" s="96">
        <v>2029</v>
      </c>
      <c r="N950" s="97">
        <v>0</v>
      </c>
      <c r="O950" s="98">
        <v>46020</v>
      </c>
      <c r="P950" s="98">
        <v>46020</v>
      </c>
      <c r="Q950" s="99">
        <v>0</v>
      </c>
    </row>
    <row r="951" spans="1:17">
      <c r="A951" s="7">
        <v>2025</v>
      </c>
      <c r="B951" s="8" t="s">
        <v>434</v>
      </c>
      <c r="C951" s="94" t="s">
        <v>435</v>
      </c>
      <c r="D951" s="95">
        <v>3215062</v>
      </c>
      <c r="E951" s="95">
        <v>2</v>
      </c>
      <c r="F951" s="95"/>
      <c r="G951" s="95">
        <v>51133</v>
      </c>
      <c r="H951" s="95" t="s">
        <v>204</v>
      </c>
      <c r="I951" s="95"/>
      <c r="J951" s="95" t="s">
        <v>146</v>
      </c>
      <c r="K951" s="95" t="b">
        <v>1</v>
      </c>
      <c r="L951" s="95">
        <v>9</v>
      </c>
      <c r="M951" s="96">
        <v>2034</v>
      </c>
      <c r="N951" s="97">
        <v>0</v>
      </c>
      <c r="O951" s="98">
        <v>46020</v>
      </c>
      <c r="P951" s="98">
        <v>46020</v>
      </c>
      <c r="Q951" s="99">
        <v>0</v>
      </c>
    </row>
    <row r="952" spans="1:17">
      <c r="A952" s="7">
        <v>2025</v>
      </c>
      <c r="B952" s="8" t="s">
        <v>434</v>
      </c>
      <c r="C952" s="94" t="s">
        <v>435</v>
      </c>
      <c r="D952" s="95">
        <v>3215062</v>
      </c>
      <c r="E952" s="95">
        <v>2</v>
      </c>
      <c r="F952" s="95"/>
      <c r="G952" s="95">
        <v>51133</v>
      </c>
      <c r="H952" s="95" t="s">
        <v>204</v>
      </c>
      <c r="I952" s="95"/>
      <c r="J952" s="95" t="s">
        <v>146</v>
      </c>
      <c r="K952" s="95" t="b">
        <v>1</v>
      </c>
      <c r="L952" s="95">
        <v>10</v>
      </c>
      <c r="M952" s="96">
        <v>2035</v>
      </c>
      <c r="N952" s="97">
        <v>0</v>
      </c>
      <c r="O952" s="98">
        <v>46020</v>
      </c>
      <c r="P952" s="98">
        <v>46020</v>
      </c>
      <c r="Q952" s="99">
        <v>0</v>
      </c>
    </row>
    <row r="953" spans="1:17">
      <c r="A953" s="7">
        <v>2025</v>
      </c>
      <c r="B953" s="8" t="s">
        <v>434</v>
      </c>
      <c r="C953" s="94" t="s">
        <v>435</v>
      </c>
      <c r="D953" s="95">
        <v>3215062</v>
      </c>
      <c r="E953" s="95">
        <v>2</v>
      </c>
      <c r="F953" s="95"/>
      <c r="G953" s="95">
        <v>51133</v>
      </c>
      <c r="H953" s="95" t="s">
        <v>204</v>
      </c>
      <c r="I953" s="95"/>
      <c r="J953" s="95" t="s">
        <v>146</v>
      </c>
      <c r="K953" s="95" t="b">
        <v>1</v>
      </c>
      <c r="L953" s="95">
        <v>2</v>
      </c>
      <c r="M953" s="96">
        <v>2027</v>
      </c>
      <c r="N953" s="97">
        <v>0</v>
      </c>
      <c r="O953" s="98">
        <v>46020</v>
      </c>
      <c r="P953" s="98">
        <v>46020</v>
      </c>
      <c r="Q953" s="99">
        <v>0</v>
      </c>
    </row>
    <row r="954" spans="1:17">
      <c r="A954" s="7">
        <v>2025</v>
      </c>
      <c r="B954" s="8" t="s">
        <v>434</v>
      </c>
      <c r="C954" s="94" t="s">
        <v>435</v>
      </c>
      <c r="D954" s="95">
        <v>3215062</v>
      </c>
      <c r="E954" s="95">
        <v>2</v>
      </c>
      <c r="F954" s="95"/>
      <c r="G954" s="95">
        <v>51133</v>
      </c>
      <c r="H954" s="95" t="s">
        <v>204</v>
      </c>
      <c r="I954" s="95"/>
      <c r="J954" s="95" t="s">
        <v>146</v>
      </c>
      <c r="K954" s="95" t="b">
        <v>1</v>
      </c>
      <c r="L954" s="95">
        <v>12</v>
      </c>
      <c r="M954" s="96">
        <v>2037</v>
      </c>
      <c r="N954" s="97">
        <v>0</v>
      </c>
      <c r="O954" s="98">
        <v>46020</v>
      </c>
      <c r="P954" s="98">
        <v>46020</v>
      </c>
      <c r="Q954" s="99">
        <v>0</v>
      </c>
    </row>
    <row r="955" spans="1:17">
      <c r="A955" s="7">
        <v>2025</v>
      </c>
      <c r="B955" s="8" t="s">
        <v>434</v>
      </c>
      <c r="C955" s="94" t="s">
        <v>435</v>
      </c>
      <c r="D955" s="95">
        <v>3215062</v>
      </c>
      <c r="E955" s="95">
        <v>2</v>
      </c>
      <c r="F955" s="95"/>
      <c r="G955" s="95">
        <v>51133</v>
      </c>
      <c r="H955" s="95" t="s">
        <v>204</v>
      </c>
      <c r="I955" s="95"/>
      <c r="J955" s="95" t="s">
        <v>146</v>
      </c>
      <c r="K955" s="95" t="b">
        <v>1</v>
      </c>
      <c r="L955" s="95">
        <v>8</v>
      </c>
      <c r="M955" s="96">
        <v>2033</v>
      </c>
      <c r="N955" s="97">
        <v>0</v>
      </c>
      <c r="O955" s="98">
        <v>46020</v>
      </c>
      <c r="P955" s="98">
        <v>46020</v>
      </c>
      <c r="Q955" s="99">
        <v>0</v>
      </c>
    </row>
    <row r="956" spans="1:17">
      <c r="A956" s="7">
        <v>2025</v>
      </c>
      <c r="B956" s="8" t="s">
        <v>434</v>
      </c>
      <c r="C956" s="94" t="s">
        <v>435</v>
      </c>
      <c r="D956" s="95">
        <v>3215062</v>
      </c>
      <c r="E956" s="95">
        <v>2</v>
      </c>
      <c r="F956" s="95"/>
      <c r="G956" s="95">
        <v>51133</v>
      </c>
      <c r="H956" s="95" t="s">
        <v>204</v>
      </c>
      <c r="I956" s="95"/>
      <c r="J956" s="95" t="s">
        <v>146</v>
      </c>
      <c r="K956" s="95" t="b">
        <v>1</v>
      </c>
      <c r="L956" s="95">
        <v>7</v>
      </c>
      <c r="M956" s="96">
        <v>2032</v>
      </c>
      <c r="N956" s="97">
        <v>0</v>
      </c>
      <c r="O956" s="98">
        <v>46020</v>
      </c>
      <c r="P956" s="98">
        <v>46020</v>
      </c>
      <c r="Q956" s="99">
        <v>0</v>
      </c>
    </row>
    <row r="957" spans="1:17">
      <c r="A957" s="7">
        <v>2025</v>
      </c>
      <c r="B957" s="8" t="s">
        <v>434</v>
      </c>
      <c r="C957" s="94" t="s">
        <v>435</v>
      </c>
      <c r="D957" s="95">
        <v>3215062</v>
      </c>
      <c r="E957" s="95">
        <v>2</v>
      </c>
      <c r="F957" s="95"/>
      <c r="G957" s="95">
        <v>51133</v>
      </c>
      <c r="H957" s="95" t="s">
        <v>204</v>
      </c>
      <c r="I957" s="95"/>
      <c r="J957" s="95" t="s">
        <v>146</v>
      </c>
      <c r="K957" s="95" t="b">
        <v>1</v>
      </c>
      <c r="L957" s="95">
        <v>13</v>
      </c>
      <c r="M957" s="96">
        <v>2038</v>
      </c>
      <c r="N957" s="97">
        <v>0</v>
      </c>
      <c r="O957" s="98">
        <v>46020</v>
      </c>
      <c r="P957" s="98">
        <v>46020</v>
      </c>
      <c r="Q957" s="99">
        <v>0</v>
      </c>
    </row>
    <row r="958" spans="1:17">
      <c r="A958" s="7">
        <v>2025</v>
      </c>
      <c r="B958" s="8" t="s">
        <v>434</v>
      </c>
      <c r="C958" s="94" t="s">
        <v>435</v>
      </c>
      <c r="D958" s="95">
        <v>3215062</v>
      </c>
      <c r="E958" s="95">
        <v>2</v>
      </c>
      <c r="F958" s="95"/>
      <c r="G958" s="95">
        <v>51133</v>
      </c>
      <c r="H958" s="95" t="s">
        <v>204</v>
      </c>
      <c r="I958" s="95"/>
      <c r="J958" s="95" t="s">
        <v>146</v>
      </c>
      <c r="K958" s="95" t="b">
        <v>1</v>
      </c>
      <c r="L958" s="95">
        <v>6</v>
      </c>
      <c r="M958" s="96">
        <v>2031</v>
      </c>
      <c r="N958" s="97">
        <v>0</v>
      </c>
      <c r="O958" s="98">
        <v>46020</v>
      </c>
      <c r="P958" s="98">
        <v>46020</v>
      </c>
      <c r="Q958" s="99">
        <v>0</v>
      </c>
    </row>
    <row r="959" spans="1:17">
      <c r="A959" s="7">
        <v>2025</v>
      </c>
      <c r="B959" s="8" t="s">
        <v>434</v>
      </c>
      <c r="C959" s="94" t="s">
        <v>435</v>
      </c>
      <c r="D959" s="95">
        <v>3215062</v>
      </c>
      <c r="E959" s="95">
        <v>2</v>
      </c>
      <c r="F959" s="95"/>
      <c r="G959" s="95">
        <v>42000</v>
      </c>
      <c r="H959" s="95">
        <v>4.2</v>
      </c>
      <c r="I959" s="95"/>
      <c r="J959" s="95" t="s">
        <v>134</v>
      </c>
      <c r="K959" s="95" t="b">
        <v>0</v>
      </c>
      <c r="L959" s="95">
        <v>2</v>
      </c>
      <c r="M959" s="96">
        <v>2027</v>
      </c>
      <c r="N959" s="97">
        <v>0</v>
      </c>
      <c r="O959" s="98">
        <v>46020</v>
      </c>
      <c r="P959" s="98">
        <v>46020</v>
      </c>
      <c r="Q959" s="99">
        <v>0</v>
      </c>
    </row>
    <row r="960" spans="1:17">
      <c r="A960" s="7">
        <v>2025</v>
      </c>
      <c r="B960" s="8" t="s">
        <v>434</v>
      </c>
      <c r="C960" s="94" t="s">
        <v>435</v>
      </c>
      <c r="D960" s="95">
        <v>3215062</v>
      </c>
      <c r="E960" s="95">
        <v>2</v>
      </c>
      <c r="F960" s="95"/>
      <c r="G960" s="95">
        <v>42000</v>
      </c>
      <c r="H960" s="95">
        <v>4.2</v>
      </c>
      <c r="I960" s="95"/>
      <c r="J960" s="95" t="s">
        <v>134</v>
      </c>
      <c r="K960" s="95" t="b">
        <v>0</v>
      </c>
      <c r="L960" s="95">
        <v>3</v>
      </c>
      <c r="M960" s="96">
        <v>2028</v>
      </c>
      <c r="N960" s="97">
        <v>0</v>
      </c>
      <c r="O960" s="98">
        <v>46020</v>
      </c>
      <c r="P960" s="98">
        <v>46020</v>
      </c>
      <c r="Q960" s="99">
        <v>0</v>
      </c>
    </row>
    <row r="961" spans="1:17">
      <c r="A961" s="7">
        <v>2025</v>
      </c>
      <c r="B961" s="8" t="s">
        <v>434</v>
      </c>
      <c r="C961" s="94" t="s">
        <v>435</v>
      </c>
      <c r="D961" s="95">
        <v>3215062</v>
      </c>
      <c r="E961" s="95">
        <v>2</v>
      </c>
      <c r="F961" s="95"/>
      <c r="G961" s="95">
        <v>42000</v>
      </c>
      <c r="H961" s="95">
        <v>4.2</v>
      </c>
      <c r="I961" s="95"/>
      <c r="J961" s="95" t="s">
        <v>134</v>
      </c>
      <c r="K961" s="95" t="b">
        <v>0</v>
      </c>
      <c r="L961" s="95">
        <v>13</v>
      </c>
      <c r="M961" s="96">
        <v>2038</v>
      </c>
      <c r="N961" s="97">
        <v>0</v>
      </c>
      <c r="O961" s="98">
        <v>46020</v>
      </c>
      <c r="P961" s="98">
        <v>46020</v>
      </c>
      <c r="Q961" s="99">
        <v>0</v>
      </c>
    </row>
    <row r="962" spans="1:17">
      <c r="A962" s="7">
        <v>2025</v>
      </c>
      <c r="B962" s="8" t="s">
        <v>434</v>
      </c>
      <c r="C962" s="94" t="s">
        <v>435</v>
      </c>
      <c r="D962" s="95">
        <v>3215062</v>
      </c>
      <c r="E962" s="95">
        <v>2</v>
      </c>
      <c r="F962" s="95"/>
      <c r="G962" s="95">
        <v>42000</v>
      </c>
      <c r="H962" s="95">
        <v>4.2</v>
      </c>
      <c r="I962" s="95"/>
      <c r="J962" s="95" t="s">
        <v>134</v>
      </c>
      <c r="K962" s="95" t="b">
        <v>0</v>
      </c>
      <c r="L962" s="95">
        <v>6</v>
      </c>
      <c r="M962" s="96">
        <v>2031</v>
      </c>
      <c r="N962" s="97">
        <v>0</v>
      </c>
      <c r="O962" s="98">
        <v>46020</v>
      </c>
      <c r="P962" s="98">
        <v>46020</v>
      </c>
      <c r="Q962" s="99">
        <v>0</v>
      </c>
    </row>
    <row r="963" spans="1:17">
      <c r="A963" s="7">
        <v>2025</v>
      </c>
      <c r="B963" s="8" t="s">
        <v>434</v>
      </c>
      <c r="C963" s="94" t="s">
        <v>435</v>
      </c>
      <c r="D963" s="95">
        <v>3215062</v>
      </c>
      <c r="E963" s="95">
        <v>2</v>
      </c>
      <c r="F963" s="95"/>
      <c r="G963" s="95">
        <v>42000</v>
      </c>
      <c r="H963" s="95">
        <v>4.2</v>
      </c>
      <c r="I963" s="95"/>
      <c r="J963" s="95" t="s">
        <v>134</v>
      </c>
      <c r="K963" s="95" t="b">
        <v>0</v>
      </c>
      <c r="L963" s="95">
        <v>8</v>
      </c>
      <c r="M963" s="96">
        <v>2033</v>
      </c>
      <c r="N963" s="97">
        <v>0</v>
      </c>
      <c r="O963" s="98">
        <v>46020</v>
      </c>
      <c r="P963" s="98">
        <v>46020</v>
      </c>
      <c r="Q963" s="99">
        <v>0</v>
      </c>
    </row>
    <row r="964" spans="1:17">
      <c r="A964" s="7">
        <v>2025</v>
      </c>
      <c r="B964" s="8" t="s">
        <v>434</v>
      </c>
      <c r="C964" s="94" t="s">
        <v>435</v>
      </c>
      <c r="D964" s="95">
        <v>3215062</v>
      </c>
      <c r="E964" s="95">
        <v>2</v>
      </c>
      <c r="F964" s="95"/>
      <c r="G964" s="95">
        <v>42000</v>
      </c>
      <c r="H964" s="95">
        <v>4.2</v>
      </c>
      <c r="I964" s="95"/>
      <c r="J964" s="95" t="s">
        <v>134</v>
      </c>
      <c r="K964" s="95" t="b">
        <v>0</v>
      </c>
      <c r="L964" s="95">
        <v>5</v>
      </c>
      <c r="M964" s="96">
        <v>2030</v>
      </c>
      <c r="N964" s="97">
        <v>0</v>
      </c>
      <c r="O964" s="98">
        <v>46020</v>
      </c>
      <c r="P964" s="98">
        <v>46020</v>
      </c>
      <c r="Q964" s="99">
        <v>0</v>
      </c>
    </row>
    <row r="965" spans="1:17">
      <c r="A965" s="7">
        <v>2025</v>
      </c>
      <c r="B965" s="8" t="s">
        <v>434</v>
      </c>
      <c r="C965" s="94" t="s">
        <v>435</v>
      </c>
      <c r="D965" s="95">
        <v>3215062</v>
      </c>
      <c r="E965" s="95">
        <v>2</v>
      </c>
      <c r="F965" s="95"/>
      <c r="G965" s="95">
        <v>42000</v>
      </c>
      <c r="H965" s="95">
        <v>4.2</v>
      </c>
      <c r="I965" s="95"/>
      <c r="J965" s="95" t="s">
        <v>134</v>
      </c>
      <c r="K965" s="95" t="b">
        <v>0</v>
      </c>
      <c r="L965" s="95">
        <v>4</v>
      </c>
      <c r="M965" s="96">
        <v>2029</v>
      </c>
      <c r="N965" s="97">
        <v>0</v>
      </c>
      <c r="O965" s="98">
        <v>46020</v>
      </c>
      <c r="P965" s="98">
        <v>46020</v>
      </c>
      <c r="Q965" s="99">
        <v>0</v>
      </c>
    </row>
    <row r="966" spans="1:17">
      <c r="A966" s="7">
        <v>2025</v>
      </c>
      <c r="B966" s="8" t="s">
        <v>434</v>
      </c>
      <c r="C966" s="94" t="s">
        <v>435</v>
      </c>
      <c r="D966" s="95">
        <v>3215062</v>
      </c>
      <c r="E966" s="95">
        <v>2</v>
      </c>
      <c r="F966" s="95"/>
      <c r="G966" s="95">
        <v>42000</v>
      </c>
      <c r="H966" s="95">
        <v>4.2</v>
      </c>
      <c r="I966" s="95"/>
      <c r="J966" s="95" t="s">
        <v>134</v>
      </c>
      <c r="K966" s="95" t="b">
        <v>0</v>
      </c>
      <c r="L966" s="95">
        <v>7</v>
      </c>
      <c r="M966" s="96">
        <v>2032</v>
      </c>
      <c r="N966" s="97">
        <v>0</v>
      </c>
      <c r="O966" s="98">
        <v>46020</v>
      </c>
      <c r="P966" s="98">
        <v>46020</v>
      </c>
      <c r="Q966" s="99">
        <v>0</v>
      </c>
    </row>
    <row r="967" spans="1:17">
      <c r="A967" s="7">
        <v>2025</v>
      </c>
      <c r="B967" s="8" t="s">
        <v>434</v>
      </c>
      <c r="C967" s="94" t="s">
        <v>435</v>
      </c>
      <c r="D967" s="95">
        <v>3215062</v>
      </c>
      <c r="E967" s="95">
        <v>2</v>
      </c>
      <c r="F967" s="95"/>
      <c r="G967" s="95">
        <v>42000</v>
      </c>
      <c r="H967" s="95">
        <v>4.2</v>
      </c>
      <c r="I967" s="95"/>
      <c r="J967" s="95" t="s">
        <v>134</v>
      </c>
      <c r="K967" s="95" t="b">
        <v>0</v>
      </c>
      <c r="L967" s="95">
        <v>10</v>
      </c>
      <c r="M967" s="96">
        <v>2035</v>
      </c>
      <c r="N967" s="97">
        <v>0</v>
      </c>
      <c r="O967" s="98">
        <v>46020</v>
      </c>
      <c r="P967" s="98">
        <v>46020</v>
      </c>
      <c r="Q967" s="99">
        <v>0</v>
      </c>
    </row>
    <row r="968" spans="1:17">
      <c r="A968" s="7">
        <v>2025</v>
      </c>
      <c r="B968" s="8" t="s">
        <v>434</v>
      </c>
      <c r="C968" s="94" t="s">
        <v>435</v>
      </c>
      <c r="D968" s="95">
        <v>3215062</v>
      </c>
      <c r="E968" s="95">
        <v>2</v>
      </c>
      <c r="F968" s="95"/>
      <c r="G968" s="95">
        <v>42000</v>
      </c>
      <c r="H968" s="95">
        <v>4.2</v>
      </c>
      <c r="I968" s="95"/>
      <c r="J968" s="95" t="s">
        <v>134</v>
      </c>
      <c r="K968" s="95" t="b">
        <v>0</v>
      </c>
      <c r="L968" s="95">
        <v>11</v>
      </c>
      <c r="M968" s="96">
        <v>2036</v>
      </c>
      <c r="N968" s="97">
        <v>0</v>
      </c>
      <c r="O968" s="98">
        <v>46020</v>
      </c>
      <c r="P968" s="98">
        <v>46020</v>
      </c>
      <c r="Q968" s="99">
        <v>0</v>
      </c>
    </row>
    <row r="969" spans="1:17">
      <c r="A969" s="7">
        <v>2025</v>
      </c>
      <c r="B969" s="8" t="s">
        <v>434</v>
      </c>
      <c r="C969" s="94" t="s">
        <v>435</v>
      </c>
      <c r="D969" s="95">
        <v>3215062</v>
      </c>
      <c r="E969" s="95">
        <v>2</v>
      </c>
      <c r="F969" s="95"/>
      <c r="G969" s="95">
        <v>42000</v>
      </c>
      <c r="H969" s="95">
        <v>4.2</v>
      </c>
      <c r="I969" s="95"/>
      <c r="J969" s="95" t="s">
        <v>134</v>
      </c>
      <c r="K969" s="95" t="b">
        <v>0</v>
      </c>
      <c r="L969" s="95">
        <v>0</v>
      </c>
      <c r="M969" s="96">
        <v>2025</v>
      </c>
      <c r="N969" s="97">
        <v>5317707.7300000004</v>
      </c>
      <c r="O969" s="98">
        <v>46020</v>
      </c>
      <c r="P969" s="98">
        <v>46020</v>
      </c>
      <c r="Q969" s="99">
        <v>0</v>
      </c>
    </row>
    <row r="970" spans="1:17">
      <c r="A970" s="7">
        <v>2025</v>
      </c>
      <c r="B970" s="8" t="s">
        <v>434</v>
      </c>
      <c r="C970" s="94" t="s">
        <v>435</v>
      </c>
      <c r="D970" s="95">
        <v>3215062</v>
      </c>
      <c r="E970" s="95">
        <v>2</v>
      </c>
      <c r="F970" s="95"/>
      <c r="G970" s="95">
        <v>42000</v>
      </c>
      <c r="H970" s="95">
        <v>4.2</v>
      </c>
      <c r="I970" s="95"/>
      <c r="J970" s="95" t="s">
        <v>134</v>
      </c>
      <c r="K970" s="95" t="b">
        <v>0</v>
      </c>
      <c r="L970" s="95">
        <v>9</v>
      </c>
      <c r="M970" s="96">
        <v>2034</v>
      </c>
      <c r="N970" s="97">
        <v>0</v>
      </c>
      <c r="O970" s="98">
        <v>46020</v>
      </c>
      <c r="P970" s="98">
        <v>46020</v>
      </c>
      <c r="Q970" s="99">
        <v>0</v>
      </c>
    </row>
    <row r="971" spans="1:17">
      <c r="A971" s="7">
        <v>2025</v>
      </c>
      <c r="B971" s="8" t="s">
        <v>434</v>
      </c>
      <c r="C971" s="94" t="s">
        <v>435</v>
      </c>
      <c r="D971" s="95">
        <v>3215062</v>
      </c>
      <c r="E971" s="95">
        <v>2</v>
      </c>
      <c r="F971" s="95"/>
      <c r="G971" s="95">
        <v>42000</v>
      </c>
      <c r="H971" s="95">
        <v>4.2</v>
      </c>
      <c r="I971" s="95"/>
      <c r="J971" s="95" t="s">
        <v>134</v>
      </c>
      <c r="K971" s="95" t="b">
        <v>0</v>
      </c>
      <c r="L971" s="95">
        <v>1</v>
      </c>
      <c r="M971" s="96">
        <v>2026</v>
      </c>
      <c r="N971" s="97">
        <v>0</v>
      </c>
      <c r="O971" s="98">
        <v>46020</v>
      </c>
      <c r="P971" s="98">
        <v>46020</v>
      </c>
      <c r="Q971" s="99">
        <v>0</v>
      </c>
    </row>
    <row r="972" spans="1:17">
      <c r="A972" s="7">
        <v>2025</v>
      </c>
      <c r="B972" s="8" t="s">
        <v>434</v>
      </c>
      <c r="C972" s="94" t="s">
        <v>435</v>
      </c>
      <c r="D972" s="95">
        <v>3215062</v>
      </c>
      <c r="E972" s="95">
        <v>2</v>
      </c>
      <c r="F972" s="95"/>
      <c r="G972" s="95">
        <v>42000</v>
      </c>
      <c r="H972" s="95">
        <v>4.2</v>
      </c>
      <c r="I972" s="95"/>
      <c r="J972" s="95" t="s">
        <v>134</v>
      </c>
      <c r="K972" s="95" t="b">
        <v>0</v>
      </c>
      <c r="L972" s="95">
        <v>12</v>
      </c>
      <c r="M972" s="96">
        <v>2037</v>
      </c>
      <c r="N972" s="97">
        <v>0</v>
      </c>
      <c r="O972" s="98">
        <v>46020</v>
      </c>
      <c r="P972" s="98">
        <v>46020</v>
      </c>
      <c r="Q972" s="99">
        <v>0</v>
      </c>
    </row>
    <row r="973" spans="1:17">
      <c r="A973" s="7">
        <v>2025</v>
      </c>
      <c r="B973" s="8" t="s">
        <v>434</v>
      </c>
      <c r="C973" s="94" t="s">
        <v>435</v>
      </c>
      <c r="D973" s="95">
        <v>3215062</v>
      </c>
      <c r="E973" s="95">
        <v>2</v>
      </c>
      <c r="F973" s="95"/>
      <c r="G973" s="95">
        <v>51132</v>
      </c>
      <c r="H973" s="95" t="s">
        <v>203</v>
      </c>
      <c r="I973" s="95"/>
      <c r="J973" s="95" t="s">
        <v>145</v>
      </c>
      <c r="K973" s="95" t="b">
        <v>1</v>
      </c>
      <c r="L973" s="95">
        <v>8</v>
      </c>
      <c r="M973" s="96">
        <v>2033</v>
      </c>
      <c r="N973" s="97">
        <v>0</v>
      </c>
      <c r="O973" s="98">
        <v>46020</v>
      </c>
      <c r="P973" s="98">
        <v>46020</v>
      </c>
      <c r="Q973" s="99">
        <v>0</v>
      </c>
    </row>
    <row r="974" spans="1:17">
      <c r="A974" s="7">
        <v>2025</v>
      </c>
      <c r="B974" s="8" t="s">
        <v>434</v>
      </c>
      <c r="C974" s="94" t="s">
        <v>435</v>
      </c>
      <c r="D974" s="95">
        <v>3215062</v>
      </c>
      <c r="E974" s="95">
        <v>2</v>
      </c>
      <c r="F974" s="95"/>
      <c r="G974" s="95">
        <v>51132</v>
      </c>
      <c r="H974" s="95" t="s">
        <v>203</v>
      </c>
      <c r="I974" s="95"/>
      <c r="J974" s="95" t="s">
        <v>145</v>
      </c>
      <c r="K974" s="95" t="b">
        <v>1</v>
      </c>
      <c r="L974" s="95">
        <v>5</v>
      </c>
      <c r="M974" s="96">
        <v>2030</v>
      </c>
      <c r="N974" s="97">
        <v>0</v>
      </c>
      <c r="O974" s="98">
        <v>46020</v>
      </c>
      <c r="P974" s="98">
        <v>46020</v>
      </c>
      <c r="Q974" s="99">
        <v>0</v>
      </c>
    </row>
    <row r="975" spans="1:17">
      <c r="A975" s="7">
        <v>2025</v>
      </c>
      <c r="B975" s="8" t="s">
        <v>434</v>
      </c>
      <c r="C975" s="94" t="s">
        <v>435</v>
      </c>
      <c r="D975" s="95">
        <v>3215062</v>
      </c>
      <c r="E975" s="95">
        <v>2</v>
      </c>
      <c r="F975" s="95"/>
      <c r="G975" s="95">
        <v>51132</v>
      </c>
      <c r="H975" s="95" t="s">
        <v>203</v>
      </c>
      <c r="I975" s="95"/>
      <c r="J975" s="95" t="s">
        <v>145</v>
      </c>
      <c r="K975" s="95" t="b">
        <v>1</v>
      </c>
      <c r="L975" s="95">
        <v>4</v>
      </c>
      <c r="M975" s="96">
        <v>2029</v>
      </c>
      <c r="N975" s="97">
        <v>0</v>
      </c>
      <c r="O975" s="98">
        <v>46020</v>
      </c>
      <c r="P975" s="98">
        <v>46020</v>
      </c>
      <c r="Q975" s="99">
        <v>0</v>
      </c>
    </row>
    <row r="976" spans="1:17">
      <c r="A976" s="7">
        <v>2025</v>
      </c>
      <c r="B976" s="8" t="s">
        <v>434</v>
      </c>
      <c r="C976" s="94" t="s">
        <v>435</v>
      </c>
      <c r="D976" s="95">
        <v>3215062</v>
      </c>
      <c r="E976" s="95">
        <v>2</v>
      </c>
      <c r="F976" s="95"/>
      <c r="G976" s="95">
        <v>51132</v>
      </c>
      <c r="H976" s="95" t="s">
        <v>203</v>
      </c>
      <c r="I976" s="95"/>
      <c r="J976" s="95" t="s">
        <v>145</v>
      </c>
      <c r="K976" s="95" t="b">
        <v>1</v>
      </c>
      <c r="L976" s="95">
        <v>0</v>
      </c>
      <c r="M976" s="96">
        <v>2025</v>
      </c>
      <c r="N976" s="97">
        <v>0</v>
      </c>
      <c r="O976" s="98">
        <v>46020</v>
      </c>
      <c r="P976" s="98">
        <v>46020</v>
      </c>
      <c r="Q976" s="99">
        <v>0</v>
      </c>
    </row>
    <row r="977" spans="1:17">
      <c r="A977" s="7">
        <v>2025</v>
      </c>
      <c r="B977" s="8" t="s">
        <v>434</v>
      </c>
      <c r="C977" s="94" t="s">
        <v>435</v>
      </c>
      <c r="D977" s="95">
        <v>3215062</v>
      </c>
      <c r="E977" s="95">
        <v>2</v>
      </c>
      <c r="F977" s="95"/>
      <c r="G977" s="95">
        <v>51132</v>
      </c>
      <c r="H977" s="95" t="s">
        <v>203</v>
      </c>
      <c r="I977" s="95"/>
      <c r="J977" s="95" t="s">
        <v>145</v>
      </c>
      <c r="K977" s="95" t="b">
        <v>1</v>
      </c>
      <c r="L977" s="95">
        <v>1</v>
      </c>
      <c r="M977" s="96">
        <v>2026</v>
      </c>
      <c r="N977" s="97">
        <v>0</v>
      </c>
      <c r="O977" s="98">
        <v>46020</v>
      </c>
      <c r="P977" s="98">
        <v>46020</v>
      </c>
      <c r="Q977" s="99">
        <v>0</v>
      </c>
    </row>
    <row r="978" spans="1:17">
      <c r="A978" s="7">
        <v>2025</v>
      </c>
      <c r="B978" s="8" t="s">
        <v>434</v>
      </c>
      <c r="C978" s="94" t="s">
        <v>435</v>
      </c>
      <c r="D978" s="95">
        <v>3215062</v>
      </c>
      <c r="E978" s="95">
        <v>2</v>
      </c>
      <c r="F978" s="95"/>
      <c r="G978" s="95">
        <v>51132</v>
      </c>
      <c r="H978" s="95" t="s">
        <v>203</v>
      </c>
      <c r="I978" s="95"/>
      <c r="J978" s="95" t="s">
        <v>145</v>
      </c>
      <c r="K978" s="95" t="b">
        <v>1</v>
      </c>
      <c r="L978" s="95">
        <v>2</v>
      </c>
      <c r="M978" s="96">
        <v>2027</v>
      </c>
      <c r="N978" s="97">
        <v>0</v>
      </c>
      <c r="O978" s="98">
        <v>46020</v>
      </c>
      <c r="P978" s="98">
        <v>46020</v>
      </c>
      <c r="Q978" s="99">
        <v>0</v>
      </c>
    </row>
    <row r="979" spans="1:17">
      <c r="A979" s="7">
        <v>2025</v>
      </c>
      <c r="B979" s="8" t="s">
        <v>434</v>
      </c>
      <c r="C979" s="94" t="s">
        <v>435</v>
      </c>
      <c r="D979" s="95">
        <v>3215062</v>
      </c>
      <c r="E979" s="95">
        <v>2</v>
      </c>
      <c r="F979" s="95"/>
      <c r="G979" s="95">
        <v>51132</v>
      </c>
      <c r="H979" s="95" t="s">
        <v>203</v>
      </c>
      <c r="I979" s="95"/>
      <c r="J979" s="95" t="s">
        <v>145</v>
      </c>
      <c r="K979" s="95" t="b">
        <v>1</v>
      </c>
      <c r="L979" s="95">
        <v>6</v>
      </c>
      <c r="M979" s="96">
        <v>2031</v>
      </c>
      <c r="N979" s="97">
        <v>0</v>
      </c>
      <c r="O979" s="98">
        <v>46020</v>
      </c>
      <c r="P979" s="98">
        <v>46020</v>
      </c>
      <c r="Q979" s="99">
        <v>0</v>
      </c>
    </row>
    <row r="980" spans="1:17">
      <c r="A980" s="7">
        <v>2025</v>
      </c>
      <c r="B980" s="8" t="s">
        <v>434</v>
      </c>
      <c r="C980" s="94" t="s">
        <v>435</v>
      </c>
      <c r="D980" s="95">
        <v>3215062</v>
      </c>
      <c r="E980" s="95">
        <v>2</v>
      </c>
      <c r="F980" s="95"/>
      <c r="G980" s="95">
        <v>51132</v>
      </c>
      <c r="H980" s="95" t="s">
        <v>203</v>
      </c>
      <c r="I980" s="95"/>
      <c r="J980" s="95" t="s">
        <v>145</v>
      </c>
      <c r="K980" s="95" t="b">
        <v>1</v>
      </c>
      <c r="L980" s="95">
        <v>13</v>
      </c>
      <c r="M980" s="96">
        <v>2038</v>
      </c>
      <c r="N980" s="97">
        <v>0</v>
      </c>
      <c r="O980" s="98">
        <v>46020</v>
      </c>
      <c r="P980" s="98">
        <v>46020</v>
      </c>
      <c r="Q980" s="99">
        <v>0</v>
      </c>
    </row>
    <row r="981" spans="1:17">
      <c r="A981" s="7">
        <v>2025</v>
      </c>
      <c r="B981" s="8" t="s">
        <v>434</v>
      </c>
      <c r="C981" s="94" t="s">
        <v>435</v>
      </c>
      <c r="D981" s="95">
        <v>3215062</v>
      </c>
      <c r="E981" s="95">
        <v>2</v>
      </c>
      <c r="F981" s="95"/>
      <c r="G981" s="95">
        <v>51132</v>
      </c>
      <c r="H981" s="95" t="s">
        <v>203</v>
      </c>
      <c r="I981" s="95"/>
      <c r="J981" s="95" t="s">
        <v>145</v>
      </c>
      <c r="K981" s="95" t="b">
        <v>1</v>
      </c>
      <c r="L981" s="95">
        <v>12</v>
      </c>
      <c r="M981" s="96">
        <v>2037</v>
      </c>
      <c r="N981" s="97">
        <v>0</v>
      </c>
      <c r="O981" s="98">
        <v>46020</v>
      </c>
      <c r="P981" s="98">
        <v>46020</v>
      </c>
      <c r="Q981" s="99">
        <v>0</v>
      </c>
    </row>
    <row r="982" spans="1:17">
      <c r="A982" s="7">
        <v>2025</v>
      </c>
      <c r="B982" s="8" t="s">
        <v>434</v>
      </c>
      <c r="C982" s="94" t="s">
        <v>435</v>
      </c>
      <c r="D982" s="95">
        <v>3215062</v>
      </c>
      <c r="E982" s="95">
        <v>2</v>
      </c>
      <c r="F982" s="95"/>
      <c r="G982" s="95">
        <v>51132</v>
      </c>
      <c r="H982" s="95" t="s">
        <v>203</v>
      </c>
      <c r="I982" s="95"/>
      <c r="J982" s="95" t="s">
        <v>145</v>
      </c>
      <c r="K982" s="95" t="b">
        <v>1</v>
      </c>
      <c r="L982" s="95">
        <v>9</v>
      </c>
      <c r="M982" s="96">
        <v>2034</v>
      </c>
      <c r="N982" s="97">
        <v>0</v>
      </c>
      <c r="O982" s="98">
        <v>46020</v>
      </c>
      <c r="P982" s="98">
        <v>46020</v>
      </c>
      <c r="Q982" s="99">
        <v>0</v>
      </c>
    </row>
    <row r="983" spans="1:17">
      <c r="A983" s="7">
        <v>2025</v>
      </c>
      <c r="B983" s="8" t="s">
        <v>434</v>
      </c>
      <c r="C983" s="94" t="s">
        <v>435</v>
      </c>
      <c r="D983" s="95">
        <v>3215062</v>
      </c>
      <c r="E983" s="95">
        <v>2</v>
      </c>
      <c r="F983" s="95"/>
      <c r="G983" s="95">
        <v>51132</v>
      </c>
      <c r="H983" s="95" t="s">
        <v>203</v>
      </c>
      <c r="I983" s="95"/>
      <c r="J983" s="95" t="s">
        <v>145</v>
      </c>
      <c r="K983" s="95" t="b">
        <v>1</v>
      </c>
      <c r="L983" s="95">
        <v>10</v>
      </c>
      <c r="M983" s="96">
        <v>2035</v>
      </c>
      <c r="N983" s="97">
        <v>0</v>
      </c>
      <c r="O983" s="98">
        <v>46020</v>
      </c>
      <c r="P983" s="98">
        <v>46020</v>
      </c>
      <c r="Q983" s="99">
        <v>0</v>
      </c>
    </row>
    <row r="984" spans="1:17">
      <c r="A984" s="7">
        <v>2025</v>
      </c>
      <c r="B984" s="8" t="s">
        <v>434</v>
      </c>
      <c r="C984" s="94" t="s">
        <v>435</v>
      </c>
      <c r="D984" s="95">
        <v>3215062</v>
      </c>
      <c r="E984" s="95">
        <v>2</v>
      </c>
      <c r="F984" s="95"/>
      <c r="G984" s="95">
        <v>51132</v>
      </c>
      <c r="H984" s="95" t="s">
        <v>203</v>
      </c>
      <c r="I984" s="95"/>
      <c r="J984" s="95" t="s">
        <v>145</v>
      </c>
      <c r="K984" s="95" t="b">
        <v>1</v>
      </c>
      <c r="L984" s="95">
        <v>3</v>
      </c>
      <c r="M984" s="96">
        <v>2028</v>
      </c>
      <c r="N984" s="97">
        <v>0</v>
      </c>
      <c r="O984" s="98">
        <v>46020</v>
      </c>
      <c r="P984" s="98">
        <v>46020</v>
      </c>
      <c r="Q984" s="99">
        <v>0</v>
      </c>
    </row>
    <row r="985" spans="1:17">
      <c r="A985" s="7">
        <v>2025</v>
      </c>
      <c r="B985" s="8" t="s">
        <v>434</v>
      </c>
      <c r="C985" s="94" t="s">
        <v>435</v>
      </c>
      <c r="D985" s="95">
        <v>3215062</v>
      </c>
      <c r="E985" s="95">
        <v>2</v>
      </c>
      <c r="F985" s="95"/>
      <c r="G985" s="95">
        <v>51132</v>
      </c>
      <c r="H985" s="95" t="s">
        <v>203</v>
      </c>
      <c r="I985" s="95"/>
      <c r="J985" s="95" t="s">
        <v>145</v>
      </c>
      <c r="K985" s="95" t="b">
        <v>1</v>
      </c>
      <c r="L985" s="95">
        <v>11</v>
      </c>
      <c r="M985" s="96">
        <v>2036</v>
      </c>
      <c r="N985" s="97">
        <v>0</v>
      </c>
      <c r="O985" s="98">
        <v>46020</v>
      </c>
      <c r="P985" s="98">
        <v>46020</v>
      </c>
      <c r="Q985" s="99">
        <v>0</v>
      </c>
    </row>
    <row r="986" spans="1:17">
      <c r="A986" s="7">
        <v>2025</v>
      </c>
      <c r="B986" s="8" t="s">
        <v>434</v>
      </c>
      <c r="C986" s="94" t="s">
        <v>435</v>
      </c>
      <c r="D986" s="95">
        <v>3215062</v>
      </c>
      <c r="E986" s="95">
        <v>2</v>
      </c>
      <c r="F986" s="95"/>
      <c r="G986" s="95">
        <v>51132</v>
      </c>
      <c r="H986" s="95" t="s">
        <v>203</v>
      </c>
      <c r="I986" s="95"/>
      <c r="J986" s="95" t="s">
        <v>145</v>
      </c>
      <c r="K986" s="95" t="b">
        <v>1</v>
      </c>
      <c r="L986" s="95">
        <v>7</v>
      </c>
      <c r="M986" s="96">
        <v>2032</v>
      </c>
      <c r="N986" s="97">
        <v>0</v>
      </c>
      <c r="O986" s="98">
        <v>46020</v>
      </c>
      <c r="P986" s="98">
        <v>46020</v>
      </c>
      <c r="Q986" s="99">
        <v>0</v>
      </c>
    </row>
    <row r="987" spans="1:17">
      <c r="A987" s="7">
        <v>2025</v>
      </c>
      <c r="B987" s="8" t="s">
        <v>434</v>
      </c>
      <c r="C987" s="94" t="s">
        <v>435</v>
      </c>
      <c r="D987" s="95">
        <v>3215062</v>
      </c>
      <c r="E987" s="95">
        <v>2</v>
      </c>
      <c r="F987" s="95"/>
      <c r="G987" s="95">
        <v>52000</v>
      </c>
      <c r="H987" s="95">
        <v>5.2</v>
      </c>
      <c r="I987" s="95"/>
      <c r="J987" s="95" t="s">
        <v>147</v>
      </c>
      <c r="K987" s="95" t="b">
        <v>0</v>
      </c>
      <c r="L987" s="95">
        <v>0</v>
      </c>
      <c r="M987" s="96">
        <v>2025</v>
      </c>
      <c r="N987" s="97">
        <v>0</v>
      </c>
      <c r="O987" s="98">
        <v>46020</v>
      </c>
      <c r="P987" s="98">
        <v>46020</v>
      </c>
      <c r="Q987" s="99">
        <v>0</v>
      </c>
    </row>
    <row r="988" spans="1:17">
      <c r="A988" s="7">
        <v>2025</v>
      </c>
      <c r="B988" s="8" t="s">
        <v>434</v>
      </c>
      <c r="C988" s="94" t="s">
        <v>435</v>
      </c>
      <c r="D988" s="95">
        <v>3215062</v>
      </c>
      <c r="E988" s="95">
        <v>2</v>
      </c>
      <c r="F988" s="95"/>
      <c r="G988" s="95">
        <v>52000</v>
      </c>
      <c r="H988" s="95">
        <v>5.2</v>
      </c>
      <c r="I988" s="95"/>
      <c r="J988" s="95" t="s">
        <v>147</v>
      </c>
      <c r="K988" s="95" t="b">
        <v>0</v>
      </c>
      <c r="L988" s="95">
        <v>11</v>
      </c>
      <c r="M988" s="96">
        <v>2036</v>
      </c>
      <c r="N988" s="97">
        <v>0</v>
      </c>
      <c r="O988" s="98">
        <v>46020</v>
      </c>
      <c r="P988" s="98">
        <v>46020</v>
      </c>
      <c r="Q988" s="99">
        <v>0</v>
      </c>
    </row>
    <row r="989" spans="1:17">
      <c r="A989" s="7">
        <v>2025</v>
      </c>
      <c r="B989" s="8" t="s">
        <v>434</v>
      </c>
      <c r="C989" s="94" t="s">
        <v>435</v>
      </c>
      <c r="D989" s="95">
        <v>3215062</v>
      </c>
      <c r="E989" s="95">
        <v>2</v>
      </c>
      <c r="F989" s="95"/>
      <c r="G989" s="95">
        <v>52000</v>
      </c>
      <c r="H989" s="95">
        <v>5.2</v>
      </c>
      <c r="I989" s="95"/>
      <c r="J989" s="95" t="s">
        <v>147</v>
      </c>
      <c r="K989" s="95" t="b">
        <v>0</v>
      </c>
      <c r="L989" s="95">
        <v>10</v>
      </c>
      <c r="M989" s="96">
        <v>2035</v>
      </c>
      <c r="N989" s="97">
        <v>0</v>
      </c>
      <c r="O989" s="98">
        <v>46020</v>
      </c>
      <c r="P989" s="98">
        <v>46020</v>
      </c>
      <c r="Q989" s="99">
        <v>0</v>
      </c>
    </row>
    <row r="990" spans="1:17">
      <c r="A990" s="7">
        <v>2025</v>
      </c>
      <c r="B990" s="8" t="s">
        <v>434</v>
      </c>
      <c r="C990" s="94" t="s">
        <v>435</v>
      </c>
      <c r="D990" s="95">
        <v>3215062</v>
      </c>
      <c r="E990" s="95">
        <v>2</v>
      </c>
      <c r="F990" s="95"/>
      <c r="G990" s="95">
        <v>52000</v>
      </c>
      <c r="H990" s="95">
        <v>5.2</v>
      </c>
      <c r="I990" s="95"/>
      <c r="J990" s="95" t="s">
        <v>147</v>
      </c>
      <c r="K990" s="95" t="b">
        <v>0</v>
      </c>
      <c r="L990" s="95">
        <v>5</v>
      </c>
      <c r="M990" s="96">
        <v>2030</v>
      </c>
      <c r="N990" s="97">
        <v>0</v>
      </c>
      <c r="O990" s="98">
        <v>46020</v>
      </c>
      <c r="P990" s="98">
        <v>46020</v>
      </c>
      <c r="Q990" s="99">
        <v>0</v>
      </c>
    </row>
    <row r="991" spans="1:17">
      <c r="A991" s="7">
        <v>2025</v>
      </c>
      <c r="B991" s="8" t="s">
        <v>434</v>
      </c>
      <c r="C991" s="94" t="s">
        <v>435</v>
      </c>
      <c r="D991" s="95">
        <v>3215062</v>
      </c>
      <c r="E991" s="95">
        <v>2</v>
      </c>
      <c r="F991" s="95"/>
      <c r="G991" s="95">
        <v>52000</v>
      </c>
      <c r="H991" s="95">
        <v>5.2</v>
      </c>
      <c r="I991" s="95"/>
      <c r="J991" s="95" t="s">
        <v>147</v>
      </c>
      <c r="K991" s="95" t="b">
        <v>0</v>
      </c>
      <c r="L991" s="95">
        <v>12</v>
      </c>
      <c r="M991" s="96">
        <v>2037</v>
      </c>
      <c r="N991" s="97">
        <v>0</v>
      </c>
      <c r="O991" s="98">
        <v>46020</v>
      </c>
      <c r="P991" s="98">
        <v>46020</v>
      </c>
      <c r="Q991" s="99">
        <v>0</v>
      </c>
    </row>
    <row r="992" spans="1:17">
      <c r="A992" s="7">
        <v>2025</v>
      </c>
      <c r="B992" s="8" t="s">
        <v>434</v>
      </c>
      <c r="C992" s="94" t="s">
        <v>435</v>
      </c>
      <c r="D992" s="95">
        <v>3215062</v>
      </c>
      <c r="E992" s="95">
        <v>2</v>
      </c>
      <c r="F992" s="95"/>
      <c r="G992" s="95">
        <v>52000</v>
      </c>
      <c r="H992" s="95">
        <v>5.2</v>
      </c>
      <c r="I992" s="95"/>
      <c r="J992" s="95" t="s">
        <v>147</v>
      </c>
      <c r="K992" s="95" t="b">
        <v>0</v>
      </c>
      <c r="L992" s="95">
        <v>6</v>
      </c>
      <c r="M992" s="96">
        <v>2031</v>
      </c>
      <c r="N992" s="97">
        <v>0</v>
      </c>
      <c r="O992" s="98">
        <v>46020</v>
      </c>
      <c r="P992" s="98">
        <v>46020</v>
      </c>
      <c r="Q992" s="99">
        <v>0</v>
      </c>
    </row>
    <row r="993" spans="1:17">
      <c r="A993" s="7">
        <v>2025</v>
      </c>
      <c r="B993" s="8" t="s">
        <v>434</v>
      </c>
      <c r="C993" s="94" t="s">
        <v>435</v>
      </c>
      <c r="D993" s="95">
        <v>3215062</v>
      </c>
      <c r="E993" s="95">
        <v>2</v>
      </c>
      <c r="F993" s="95"/>
      <c r="G993" s="95">
        <v>52000</v>
      </c>
      <c r="H993" s="95">
        <v>5.2</v>
      </c>
      <c r="I993" s="95"/>
      <c r="J993" s="95" t="s">
        <v>147</v>
      </c>
      <c r="K993" s="95" t="b">
        <v>0</v>
      </c>
      <c r="L993" s="95">
        <v>8</v>
      </c>
      <c r="M993" s="96">
        <v>2033</v>
      </c>
      <c r="N993" s="97">
        <v>0</v>
      </c>
      <c r="O993" s="98">
        <v>46020</v>
      </c>
      <c r="P993" s="98">
        <v>46020</v>
      </c>
      <c r="Q993" s="99">
        <v>0</v>
      </c>
    </row>
    <row r="994" spans="1:17">
      <c r="A994" s="7">
        <v>2025</v>
      </c>
      <c r="B994" s="8" t="s">
        <v>434</v>
      </c>
      <c r="C994" s="94" t="s">
        <v>435</v>
      </c>
      <c r="D994" s="95">
        <v>3215062</v>
      </c>
      <c r="E994" s="95">
        <v>2</v>
      </c>
      <c r="F994" s="95"/>
      <c r="G994" s="95">
        <v>52000</v>
      </c>
      <c r="H994" s="95">
        <v>5.2</v>
      </c>
      <c r="I994" s="95"/>
      <c r="J994" s="95" t="s">
        <v>147</v>
      </c>
      <c r="K994" s="95" t="b">
        <v>0</v>
      </c>
      <c r="L994" s="95">
        <v>4</v>
      </c>
      <c r="M994" s="96">
        <v>2029</v>
      </c>
      <c r="N994" s="97">
        <v>0</v>
      </c>
      <c r="O994" s="98">
        <v>46020</v>
      </c>
      <c r="P994" s="98">
        <v>46020</v>
      </c>
      <c r="Q994" s="99">
        <v>0</v>
      </c>
    </row>
    <row r="995" spans="1:17">
      <c r="A995" s="7">
        <v>2025</v>
      </c>
      <c r="B995" s="8" t="s">
        <v>434</v>
      </c>
      <c r="C995" s="94" t="s">
        <v>435</v>
      </c>
      <c r="D995" s="95">
        <v>3215062</v>
      </c>
      <c r="E995" s="95">
        <v>2</v>
      </c>
      <c r="F995" s="95"/>
      <c r="G995" s="95">
        <v>52000</v>
      </c>
      <c r="H995" s="95">
        <v>5.2</v>
      </c>
      <c r="I995" s="95"/>
      <c r="J995" s="95" t="s">
        <v>147</v>
      </c>
      <c r="K995" s="95" t="b">
        <v>0</v>
      </c>
      <c r="L995" s="95">
        <v>7</v>
      </c>
      <c r="M995" s="96">
        <v>2032</v>
      </c>
      <c r="N995" s="97">
        <v>0</v>
      </c>
      <c r="O995" s="98">
        <v>46020</v>
      </c>
      <c r="P995" s="98">
        <v>46020</v>
      </c>
      <c r="Q995" s="99">
        <v>0</v>
      </c>
    </row>
    <row r="996" spans="1:17">
      <c r="A996" s="7">
        <v>2025</v>
      </c>
      <c r="B996" s="8" t="s">
        <v>434</v>
      </c>
      <c r="C996" s="94" t="s">
        <v>435</v>
      </c>
      <c r="D996" s="95">
        <v>3215062</v>
      </c>
      <c r="E996" s="95">
        <v>2</v>
      </c>
      <c r="F996" s="95"/>
      <c r="G996" s="95">
        <v>52000</v>
      </c>
      <c r="H996" s="95">
        <v>5.2</v>
      </c>
      <c r="I996" s="95"/>
      <c r="J996" s="95" t="s">
        <v>147</v>
      </c>
      <c r="K996" s="95" t="b">
        <v>0</v>
      </c>
      <c r="L996" s="95">
        <v>1</v>
      </c>
      <c r="M996" s="96">
        <v>2026</v>
      </c>
      <c r="N996" s="97">
        <v>0</v>
      </c>
      <c r="O996" s="98">
        <v>46020</v>
      </c>
      <c r="P996" s="98">
        <v>46020</v>
      </c>
      <c r="Q996" s="99">
        <v>0</v>
      </c>
    </row>
    <row r="997" spans="1:17">
      <c r="A997" s="7">
        <v>2025</v>
      </c>
      <c r="B997" s="8" t="s">
        <v>434</v>
      </c>
      <c r="C997" s="94" t="s">
        <v>435</v>
      </c>
      <c r="D997" s="95">
        <v>3215062</v>
      </c>
      <c r="E997" s="95">
        <v>2</v>
      </c>
      <c r="F997" s="95"/>
      <c r="G997" s="95">
        <v>52000</v>
      </c>
      <c r="H997" s="95">
        <v>5.2</v>
      </c>
      <c r="I997" s="95"/>
      <c r="J997" s="95" t="s">
        <v>147</v>
      </c>
      <c r="K997" s="95" t="b">
        <v>0</v>
      </c>
      <c r="L997" s="95">
        <v>2</v>
      </c>
      <c r="M997" s="96">
        <v>2027</v>
      </c>
      <c r="N997" s="97">
        <v>0</v>
      </c>
      <c r="O997" s="98">
        <v>46020</v>
      </c>
      <c r="P997" s="98">
        <v>46020</v>
      </c>
      <c r="Q997" s="99">
        <v>0</v>
      </c>
    </row>
    <row r="998" spans="1:17">
      <c r="A998" s="7">
        <v>2025</v>
      </c>
      <c r="B998" s="8" t="s">
        <v>434</v>
      </c>
      <c r="C998" s="94" t="s">
        <v>435</v>
      </c>
      <c r="D998" s="95">
        <v>3215062</v>
      </c>
      <c r="E998" s="95">
        <v>2</v>
      </c>
      <c r="F998" s="95"/>
      <c r="G998" s="95">
        <v>52000</v>
      </c>
      <c r="H998" s="95">
        <v>5.2</v>
      </c>
      <c r="I998" s="95"/>
      <c r="J998" s="95" t="s">
        <v>147</v>
      </c>
      <c r="K998" s="95" t="b">
        <v>0</v>
      </c>
      <c r="L998" s="95">
        <v>13</v>
      </c>
      <c r="M998" s="96">
        <v>2038</v>
      </c>
      <c r="N998" s="97">
        <v>0</v>
      </c>
      <c r="O998" s="98">
        <v>46020</v>
      </c>
      <c r="P998" s="98">
        <v>46020</v>
      </c>
      <c r="Q998" s="99">
        <v>0</v>
      </c>
    </row>
    <row r="999" spans="1:17">
      <c r="A999" s="7">
        <v>2025</v>
      </c>
      <c r="B999" s="8" t="s">
        <v>434</v>
      </c>
      <c r="C999" s="94" t="s">
        <v>435</v>
      </c>
      <c r="D999" s="95">
        <v>3215062</v>
      </c>
      <c r="E999" s="95">
        <v>2</v>
      </c>
      <c r="F999" s="95"/>
      <c r="G999" s="95">
        <v>52000</v>
      </c>
      <c r="H999" s="95">
        <v>5.2</v>
      </c>
      <c r="I999" s="95"/>
      <c r="J999" s="95" t="s">
        <v>147</v>
      </c>
      <c r="K999" s="95" t="b">
        <v>0</v>
      </c>
      <c r="L999" s="95">
        <v>3</v>
      </c>
      <c r="M999" s="96">
        <v>2028</v>
      </c>
      <c r="N999" s="97">
        <v>0</v>
      </c>
      <c r="O999" s="98">
        <v>46020</v>
      </c>
      <c r="P999" s="98">
        <v>46020</v>
      </c>
      <c r="Q999" s="99">
        <v>0</v>
      </c>
    </row>
    <row r="1000" spans="1:17">
      <c r="A1000" s="7">
        <v>2025</v>
      </c>
      <c r="B1000" s="8" t="s">
        <v>434</v>
      </c>
      <c r="C1000" s="94" t="s">
        <v>435</v>
      </c>
      <c r="D1000" s="95">
        <v>3215062</v>
      </c>
      <c r="E1000" s="95">
        <v>2</v>
      </c>
      <c r="F1000" s="95"/>
      <c r="G1000" s="95">
        <v>52000</v>
      </c>
      <c r="H1000" s="95">
        <v>5.2</v>
      </c>
      <c r="I1000" s="95"/>
      <c r="J1000" s="95" t="s">
        <v>147</v>
      </c>
      <c r="K1000" s="95" t="b">
        <v>0</v>
      </c>
      <c r="L1000" s="95">
        <v>9</v>
      </c>
      <c r="M1000" s="96">
        <v>2034</v>
      </c>
      <c r="N1000" s="97">
        <v>0</v>
      </c>
      <c r="O1000" s="98">
        <v>46020</v>
      </c>
      <c r="P1000" s="98">
        <v>46020</v>
      </c>
      <c r="Q1000" s="99">
        <v>0</v>
      </c>
    </row>
    <row r="1001" spans="1:17">
      <c r="A1001" s="7">
        <v>2025</v>
      </c>
      <c r="B1001" s="8" t="s">
        <v>434</v>
      </c>
      <c r="C1001" s="94" t="s">
        <v>435</v>
      </c>
      <c r="D1001" s="95">
        <v>3215062</v>
      </c>
      <c r="E1001" s="95">
        <v>2</v>
      </c>
      <c r="F1001" s="95"/>
      <c r="G1001" s="95">
        <v>21320</v>
      </c>
      <c r="H1001" s="95" t="s">
        <v>198</v>
      </c>
      <c r="I1001" s="95"/>
      <c r="J1001" s="95" t="s">
        <v>127</v>
      </c>
      <c r="K1001" s="95" t="b">
        <v>0</v>
      </c>
      <c r="L1001" s="95">
        <v>8</v>
      </c>
      <c r="M1001" s="96">
        <v>2033</v>
      </c>
      <c r="N1001" s="97">
        <v>0</v>
      </c>
      <c r="O1001" s="98">
        <v>46020</v>
      </c>
      <c r="P1001" s="98">
        <v>46020</v>
      </c>
      <c r="Q1001" s="99">
        <v>0</v>
      </c>
    </row>
    <row r="1002" spans="1:17">
      <c r="A1002" s="7">
        <v>2025</v>
      </c>
      <c r="B1002" s="8" t="s">
        <v>434</v>
      </c>
      <c r="C1002" s="94" t="s">
        <v>435</v>
      </c>
      <c r="D1002" s="95">
        <v>3215062</v>
      </c>
      <c r="E1002" s="95">
        <v>2</v>
      </c>
      <c r="F1002" s="95"/>
      <c r="G1002" s="95">
        <v>21320</v>
      </c>
      <c r="H1002" s="95" t="s">
        <v>198</v>
      </c>
      <c r="I1002" s="95"/>
      <c r="J1002" s="95" t="s">
        <v>127</v>
      </c>
      <c r="K1002" s="95" t="b">
        <v>0</v>
      </c>
      <c r="L1002" s="95">
        <v>7</v>
      </c>
      <c r="M1002" s="96">
        <v>2032</v>
      </c>
      <c r="N1002" s="97">
        <v>0</v>
      </c>
      <c r="O1002" s="98">
        <v>46020</v>
      </c>
      <c r="P1002" s="98">
        <v>46020</v>
      </c>
      <c r="Q1002" s="99">
        <v>0</v>
      </c>
    </row>
    <row r="1003" spans="1:17">
      <c r="A1003" s="7">
        <v>2025</v>
      </c>
      <c r="B1003" s="8" t="s">
        <v>434</v>
      </c>
      <c r="C1003" s="94" t="s">
        <v>435</v>
      </c>
      <c r="D1003" s="95">
        <v>3215062</v>
      </c>
      <c r="E1003" s="95">
        <v>2</v>
      </c>
      <c r="F1003" s="95"/>
      <c r="G1003" s="95">
        <v>21320</v>
      </c>
      <c r="H1003" s="95" t="s">
        <v>198</v>
      </c>
      <c r="I1003" s="95"/>
      <c r="J1003" s="95" t="s">
        <v>127</v>
      </c>
      <c r="K1003" s="95" t="b">
        <v>0</v>
      </c>
      <c r="L1003" s="95">
        <v>6</v>
      </c>
      <c r="M1003" s="96">
        <v>2031</v>
      </c>
      <c r="N1003" s="97">
        <v>0</v>
      </c>
      <c r="O1003" s="98">
        <v>46020</v>
      </c>
      <c r="P1003" s="98">
        <v>46020</v>
      </c>
      <c r="Q1003" s="99">
        <v>0</v>
      </c>
    </row>
    <row r="1004" spans="1:17">
      <c r="A1004" s="7">
        <v>2025</v>
      </c>
      <c r="B1004" s="8" t="s">
        <v>434</v>
      </c>
      <c r="C1004" s="94" t="s">
        <v>435</v>
      </c>
      <c r="D1004" s="95">
        <v>3215062</v>
      </c>
      <c r="E1004" s="95">
        <v>2</v>
      </c>
      <c r="F1004" s="95"/>
      <c r="G1004" s="95">
        <v>21320</v>
      </c>
      <c r="H1004" s="95" t="s">
        <v>198</v>
      </c>
      <c r="I1004" s="95"/>
      <c r="J1004" s="95" t="s">
        <v>127</v>
      </c>
      <c r="K1004" s="95" t="b">
        <v>0</v>
      </c>
      <c r="L1004" s="95">
        <v>1</v>
      </c>
      <c r="M1004" s="96">
        <v>2026</v>
      </c>
      <c r="N1004" s="97">
        <v>0</v>
      </c>
      <c r="O1004" s="98">
        <v>46020</v>
      </c>
      <c r="P1004" s="98">
        <v>46020</v>
      </c>
      <c r="Q1004" s="99">
        <v>0</v>
      </c>
    </row>
    <row r="1005" spans="1:17">
      <c r="A1005" s="7">
        <v>2025</v>
      </c>
      <c r="B1005" s="8" t="s">
        <v>434</v>
      </c>
      <c r="C1005" s="94" t="s">
        <v>435</v>
      </c>
      <c r="D1005" s="95">
        <v>3215062</v>
      </c>
      <c r="E1005" s="95">
        <v>2</v>
      </c>
      <c r="F1005" s="95"/>
      <c r="G1005" s="95">
        <v>21320</v>
      </c>
      <c r="H1005" s="95" t="s">
        <v>198</v>
      </c>
      <c r="I1005" s="95"/>
      <c r="J1005" s="95" t="s">
        <v>127</v>
      </c>
      <c r="K1005" s="95" t="b">
        <v>0</v>
      </c>
      <c r="L1005" s="95">
        <v>3</v>
      </c>
      <c r="M1005" s="96">
        <v>2028</v>
      </c>
      <c r="N1005" s="97">
        <v>0</v>
      </c>
      <c r="O1005" s="98">
        <v>46020</v>
      </c>
      <c r="P1005" s="98">
        <v>46020</v>
      </c>
      <c r="Q1005" s="99">
        <v>0</v>
      </c>
    </row>
    <row r="1006" spans="1:17">
      <c r="A1006" s="7">
        <v>2025</v>
      </c>
      <c r="B1006" s="8" t="s">
        <v>434</v>
      </c>
      <c r="C1006" s="94" t="s">
        <v>435</v>
      </c>
      <c r="D1006" s="95">
        <v>3215062</v>
      </c>
      <c r="E1006" s="95">
        <v>2</v>
      </c>
      <c r="F1006" s="95"/>
      <c r="G1006" s="95">
        <v>21320</v>
      </c>
      <c r="H1006" s="95" t="s">
        <v>198</v>
      </c>
      <c r="I1006" s="95"/>
      <c r="J1006" s="95" t="s">
        <v>127</v>
      </c>
      <c r="K1006" s="95" t="b">
        <v>0</v>
      </c>
      <c r="L1006" s="95">
        <v>10</v>
      </c>
      <c r="M1006" s="96">
        <v>2035</v>
      </c>
      <c r="N1006" s="97">
        <v>0</v>
      </c>
      <c r="O1006" s="98">
        <v>46020</v>
      </c>
      <c r="P1006" s="98">
        <v>46020</v>
      </c>
      <c r="Q1006" s="99">
        <v>0</v>
      </c>
    </row>
    <row r="1007" spans="1:17">
      <c r="A1007" s="7">
        <v>2025</v>
      </c>
      <c r="B1007" s="8" t="s">
        <v>434</v>
      </c>
      <c r="C1007" s="94" t="s">
        <v>435</v>
      </c>
      <c r="D1007" s="95">
        <v>3215062</v>
      </c>
      <c r="E1007" s="95">
        <v>2</v>
      </c>
      <c r="F1007" s="95"/>
      <c r="G1007" s="95">
        <v>21320</v>
      </c>
      <c r="H1007" s="95" t="s">
        <v>198</v>
      </c>
      <c r="I1007" s="95"/>
      <c r="J1007" s="95" t="s">
        <v>127</v>
      </c>
      <c r="K1007" s="95" t="b">
        <v>0</v>
      </c>
      <c r="L1007" s="95">
        <v>12</v>
      </c>
      <c r="M1007" s="96">
        <v>2037</v>
      </c>
      <c r="N1007" s="97">
        <v>0</v>
      </c>
      <c r="O1007" s="98">
        <v>46020</v>
      </c>
      <c r="P1007" s="98">
        <v>46020</v>
      </c>
      <c r="Q1007" s="99">
        <v>0</v>
      </c>
    </row>
    <row r="1008" spans="1:17">
      <c r="A1008" s="7">
        <v>2025</v>
      </c>
      <c r="B1008" s="8" t="s">
        <v>434</v>
      </c>
      <c r="C1008" s="94" t="s">
        <v>435</v>
      </c>
      <c r="D1008" s="95">
        <v>3215062</v>
      </c>
      <c r="E1008" s="95">
        <v>2</v>
      </c>
      <c r="F1008" s="95"/>
      <c r="G1008" s="95">
        <v>21320</v>
      </c>
      <c r="H1008" s="95" t="s">
        <v>198</v>
      </c>
      <c r="I1008" s="95"/>
      <c r="J1008" s="95" t="s">
        <v>127</v>
      </c>
      <c r="K1008" s="95" t="b">
        <v>0</v>
      </c>
      <c r="L1008" s="95">
        <v>5</v>
      </c>
      <c r="M1008" s="96">
        <v>2030</v>
      </c>
      <c r="N1008" s="97">
        <v>0</v>
      </c>
      <c r="O1008" s="98">
        <v>46020</v>
      </c>
      <c r="P1008" s="98">
        <v>46020</v>
      </c>
      <c r="Q1008" s="99">
        <v>0</v>
      </c>
    </row>
    <row r="1009" spans="1:17">
      <c r="A1009" s="7">
        <v>2025</v>
      </c>
      <c r="B1009" s="8" t="s">
        <v>434</v>
      </c>
      <c r="C1009" s="94" t="s">
        <v>435</v>
      </c>
      <c r="D1009" s="95">
        <v>3215062</v>
      </c>
      <c r="E1009" s="95">
        <v>2</v>
      </c>
      <c r="F1009" s="95"/>
      <c r="G1009" s="95">
        <v>21320</v>
      </c>
      <c r="H1009" s="95" t="s">
        <v>198</v>
      </c>
      <c r="I1009" s="95"/>
      <c r="J1009" s="95" t="s">
        <v>127</v>
      </c>
      <c r="K1009" s="95" t="b">
        <v>0</v>
      </c>
      <c r="L1009" s="95">
        <v>2</v>
      </c>
      <c r="M1009" s="96">
        <v>2027</v>
      </c>
      <c r="N1009" s="97">
        <v>0</v>
      </c>
      <c r="O1009" s="98">
        <v>46020</v>
      </c>
      <c r="P1009" s="98">
        <v>46020</v>
      </c>
      <c r="Q1009" s="99">
        <v>0</v>
      </c>
    </row>
    <row r="1010" spans="1:17">
      <c r="A1010" s="7">
        <v>2025</v>
      </c>
      <c r="B1010" s="8" t="s">
        <v>434</v>
      </c>
      <c r="C1010" s="94" t="s">
        <v>435</v>
      </c>
      <c r="D1010" s="95">
        <v>3215062</v>
      </c>
      <c r="E1010" s="95">
        <v>2</v>
      </c>
      <c r="F1010" s="95"/>
      <c r="G1010" s="95">
        <v>21320</v>
      </c>
      <c r="H1010" s="95" t="s">
        <v>198</v>
      </c>
      <c r="I1010" s="95"/>
      <c r="J1010" s="95" t="s">
        <v>127</v>
      </c>
      <c r="K1010" s="95" t="b">
        <v>0</v>
      </c>
      <c r="L1010" s="95">
        <v>0</v>
      </c>
      <c r="M1010" s="96">
        <v>2025</v>
      </c>
      <c r="N1010" s="97">
        <v>0</v>
      </c>
      <c r="O1010" s="98">
        <v>46020</v>
      </c>
      <c r="P1010" s="98">
        <v>46020</v>
      </c>
      <c r="Q1010" s="99">
        <v>0</v>
      </c>
    </row>
    <row r="1011" spans="1:17">
      <c r="A1011" s="7">
        <v>2025</v>
      </c>
      <c r="B1011" s="8" t="s">
        <v>434</v>
      </c>
      <c r="C1011" s="94" t="s">
        <v>435</v>
      </c>
      <c r="D1011" s="95">
        <v>3215062</v>
      </c>
      <c r="E1011" s="95">
        <v>2</v>
      </c>
      <c r="F1011" s="95"/>
      <c r="G1011" s="95">
        <v>21320</v>
      </c>
      <c r="H1011" s="95" t="s">
        <v>198</v>
      </c>
      <c r="I1011" s="95"/>
      <c r="J1011" s="95" t="s">
        <v>127</v>
      </c>
      <c r="K1011" s="95" t="b">
        <v>0</v>
      </c>
      <c r="L1011" s="95">
        <v>4</v>
      </c>
      <c r="M1011" s="96">
        <v>2029</v>
      </c>
      <c r="N1011" s="97">
        <v>0</v>
      </c>
      <c r="O1011" s="98">
        <v>46020</v>
      </c>
      <c r="P1011" s="98">
        <v>46020</v>
      </c>
      <c r="Q1011" s="99">
        <v>0</v>
      </c>
    </row>
    <row r="1012" spans="1:17">
      <c r="A1012" s="7">
        <v>2025</v>
      </c>
      <c r="B1012" s="8" t="s">
        <v>434</v>
      </c>
      <c r="C1012" s="94" t="s">
        <v>435</v>
      </c>
      <c r="D1012" s="95">
        <v>3215062</v>
      </c>
      <c r="E1012" s="95">
        <v>2</v>
      </c>
      <c r="F1012" s="95"/>
      <c r="G1012" s="95">
        <v>21320</v>
      </c>
      <c r="H1012" s="95" t="s">
        <v>198</v>
      </c>
      <c r="I1012" s="95"/>
      <c r="J1012" s="95" t="s">
        <v>127</v>
      </c>
      <c r="K1012" s="95" t="b">
        <v>0</v>
      </c>
      <c r="L1012" s="95">
        <v>9</v>
      </c>
      <c r="M1012" s="96">
        <v>2034</v>
      </c>
      <c r="N1012" s="97">
        <v>0</v>
      </c>
      <c r="O1012" s="98">
        <v>46020</v>
      </c>
      <c r="P1012" s="98">
        <v>46020</v>
      </c>
      <c r="Q1012" s="99">
        <v>0</v>
      </c>
    </row>
    <row r="1013" spans="1:17">
      <c r="A1013" s="7">
        <v>2025</v>
      </c>
      <c r="B1013" s="8" t="s">
        <v>434</v>
      </c>
      <c r="C1013" s="94" t="s">
        <v>435</v>
      </c>
      <c r="D1013" s="95">
        <v>3215062</v>
      </c>
      <c r="E1013" s="95">
        <v>2</v>
      </c>
      <c r="F1013" s="95"/>
      <c r="G1013" s="95">
        <v>21320</v>
      </c>
      <c r="H1013" s="95" t="s">
        <v>198</v>
      </c>
      <c r="I1013" s="95"/>
      <c r="J1013" s="95" t="s">
        <v>127</v>
      </c>
      <c r="K1013" s="95" t="b">
        <v>0</v>
      </c>
      <c r="L1013" s="95">
        <v>11</v>
      </c>
      <c r="M1013" s="96">
        <v>2036</v>
      </c>
      <c r="N1013" s="97">
        <v>0</v>
      </c>
      <c r="O1013" s="98">
        <v>46020</v>
      </c>
      <c r="P1013" s="98">
        <v>46020</v>
      </c>
      <c r="Q1013" s="99">
        <v>0</v>
      </c>
    </row>
    <row r="1014" spans="1:17">
      <c r="A1014" s="7">
        <v>2025</v>
      </c>
      <c r="B1014" s="8" t="s">
        <v>434</v>
      </c>
      <c r="C1014" s="94" t="s">
        <v>435</v>
      </c>
      <c r="D1014" s="95">
        <v>3215062</v>
      </c>
      <c r="E1014" s="95">
        <v>2</v>
      </c>
      <c r="F1014" s="95"/>
      <c r="G1014" s="95">
        <v>21320</v>
      </c>
      <c r="H1014" s="95" t="s">
        <v>198</v>
      </c>
      <c r="I1014" s="95"/>
      <c r="J1014" s="95" t="s">
        <v>127</v>
      </c>
      <c r="K1014" s="95" t="b">
        <v>0</v>
      </c>
      <c r="L1014" s="95">
        <v>13</v>
      </c>
      <c r="M1014" s="96">
        <v>2038</v>
      </c>
      <c r="N1014" s="97">
        <v>0</v>
      </c>
      <c r="O1014" s="98">
        <v>46020</v>
      </c>
      <c r="P1014" s="98">
        <v>46020</v>
      </c>
      <c r="Q1014" s="99">
        <v>0</v>
      </c>
    </row>
    <row r="1015" spans="1:17">
      <c r="A1015" s="7">
        <v>2025</v>
      </c>
      <c r="B1015" s="8" t="s">
        <v>434</v>
      </c>
      <c r="C1015" s="94" t="s">
        <v>435</v>
      </c>
      <c r="D1015" s="95">
        <v>3215062</v>
      </c>
      <c r="E1015" s="95">
        <v>2</v>
      </c>
      <c r="F1015" s="95"/>
      <c r="G1015" s="95">
        <v>101000</v>
      </c>
      <c r="H1015" s="95">
        <v>10.1</v>
      </c>
      <c r="I1015" s="95" t="s">
        <v>460</v>
      </c>
      <c r="J1015" s="95" t="s">
        <v>173</v>
      </c>
      <c r="K1015" s="95" t="b">
        <v>0</v>
      </c>
      <c r="L1015" s="95">
        <v>13</v>
      </c>
      <c r="M1015" s="96">
        <v>2038</v>
      </c>
      <c r="N1015" s="97">
        <v>0</v>
      </c>
      <c r="O1015" s="98">
        <v>46020</v>
      </c>
      <c r="P1015" s="98">
        <v>46020</v>
      </c>
      <c r="Q1015" s="99">
        <v>0</v>
      </c>
    </row>
    <row r="1016" spans="1:17">
      <c r="A1016" s="7">
        <v>2025</v>
      </c>
      <c r="B1016" s="8" t="s">
        <v>434</v>
      </c>
      <c r="C1016" s="94" t="s">
        <v>435</v>
      </c>
      <c r="D1016" s="95">
        <v>3215062</v>
      </c>
      <c r="E1016" s="95">
        <v>2</v>
      </c>
      <c r="F1016" s="95"/>
      <c r="G1016" s="95">
        <v>101000</v>
      </c>
      <c r="H1016" s="95">
        <v>10.1</v>
      </c>
      <c r="I1016" s="95" t="s">
        <v>460</v>
      </c>
      <c r="J1016" s="95" t="s">
        <v>173</v>
      </c>
      <c r="K1016" s="95" t="b">
        <v>0</v>
      </c>
      <c r="L1016" s="95">
        <v>8</v>
      </c>
      <c r="M1016" s="96">
        <v>2033</v>
      </c>
      <c r="N1016" s="97">
        <v>0</v>
      </c>
      <c r="O1016" s="98">
        <v>46020</v>
      </c>
      <c r="P1016" s="98">
        <v>46020</v>
      </c>
      <c r="Q1016" s="99">
        <v>0</v>
      </c>
    </row>
    <row r="1017" spans="1:17">
      <c r="A1017" s="7">
        <v>2025</v>
      </c>
      <c r="B1017" s="8" t="s">
        <v>434</v>
      </c>
      <c r="C1017" s="94" t="s">
        <v>435</v>
      </c>
      <c r="D1017" s="95">
        <v>3215062</v>
      </c>
      <c r="E1017" s="95">
        <v>2</v>
      </c>
      <c r="F1017" s="95"/>
      <c r="G1017" s="95">
        <v>101000</v>
      </c>
      <c r="H1017" s="95">
        <v>10.1</v>
      </c>
      <c r="I1017" s="95" t="s">
        <v>460</v>
      </c>
      <c r="J1017" s="95" t="s">
        <v>173</v>
      </c>
      <c r="K1017" s="95" t="b">
        <v>0</v>
      </c>
      <c r="L1017" s="95">
        <v>1</v>
      </c>
      <c r="M1017" s="96">
        <v>2026</v>
      </c>
      <c r="N1017" s="97">
        <v>19815159.449999999</v>
      </c>
      <c r="O1017" s="98">
        <v>46020</v>
      </c>
      <c r="P1017" s="98">
        <v>46020</v>
      </c>
      <c r="Q1017" s="99">
        <v>0</v>
      </c>
    </row>
    <row r="1018" spans="1:17">
      <c r="A1018" s="7">
        <v>2025</v>
      </c>
      <c r="B1018" s="8" t="s">
        <v>434</v>
      </c>
      <c r="C1018" s="94" t="s">
        <v>435</v>
      </c>
      <c r="D1018" s="95">
        <v>3215062</v>
      </c>
      <c r="E1018" s="95">
        <v>2</v>
      </c>
      <c r="F1018" s="95"/>
      <c r="G1018" s="95">
        <v>101000</v>
      </c>
      <c r="H1018" s="95">
        <v>10.1</v>
      </c>
      <c r="I1018" s="95" t="s">
        <v>460</v>
      </c>
      <c r="J1018" s="95" t="s">
        <v>173</v>
      </c>
      <c r="K1018" s="95" t="b">
        <v>0</v>
      </c>
      <c r="L1018" s="95">
        <v>12</v>
      </c>
      <c r="M1018" s="96">
        <v>2037</v>
      </c>
      <c r="N1018" s="97">
        <v>0</v>
      </c>
      <c r="O1018" s="98">
        <v>46020</v>
      </c>
      <c r="P1018" s="98">
        <v>46020</v>
      </c>
      <c r="Q1018" s="99">
        <v>0</v>
      </c>
    </row>
    <row r="1019" spans="1:17">
      <c r="A1019" s="7">
        <v>2025</v>
      </c>
      <c r="B1019" s="8" t="s">
        <v>434</v>
      </c>
      <c r="C1019" s="94" t="s">
        <v>435</v>
      </c>
      <c r="D1019" s="95">
        <v>3215062</v>
      </c>
      <c r="E1019" s="95">
        <v>2</v>
      </c>
      <c r="F1019" s="95"/>
      <c r="G1019" s="95">
        <v>101000</v>
      </c>
      <c r="H1019" s="95">
        <v>10.1</v>
      </c>
      <c r="I1019" s="95" t="s">
        <v>460</v>
      </c>
      <c r="J1019" s="95" t="s">
        <v>173</v>
      </c>
      <c r="K1019" s="95" t="b">
        <v>0</v>
      </c>
      <c r="L1019" s="95">
        <v>11</v>
      </c>
      <c r="M1019" s="96">
        <v>2036</v>
      </c>
      <c r="N1019" s="97">
        <v>0</v>
      </c>
      <c r="O1019" s="98">
        <v>46020</v>
      </c>
      <c r="P1019" s="98">
        <v>46020</v>
      </c>
      <c r="Q1019" s="99">
        <v>0</v>
      </c>
    </row>
    <row r="1020" spans="1:17">
      <c r="A1020" s="7">
        <v>2025</v>
      </c>
      <c r="B1020" s="8" t="s">
        <v>434</v>
      </c>
      <c r="C1020" s="94" t="s">
        <v>435</v>
      </c>
      <c r="D1020" s="95">
        <v>3215062</v>
      </c>
      <c r="E1020" s="95">
        <v>2</v>
      </c>
      <c r="F1020" s="95"/>
      <c r="G1020" s="95">
        <v>101000</v>
      </c>
      <c r="H1020" s="95">
        <v>10.1</v>
      </c>
      <c r="I1020" s="95" t="s">
        <v>460</v>
      </c>
      <c r="J1020" s="95" t="s">
        <v>173</v>
      </c>
      <c r="K1020" s="95" t="b">
        <v>0</v>
      </c>
      <c r="L1020" s="95">
        <v>10</v>
      </c>
      <c r="M1020" s="96">
        <v>2035</v>
      </c>
      <c r="N1020" s="97">
        <v>0</v>
      </c>
      <c r="O1020" s="98">
        <v>46020</v>
      </c>
      <c r="P1020" s="98">
        <v>46020</v>
      </c>
      <c r="Q1020" s="99">
        <v>0</v>
      </c>
    </row>
    <row r="1021" spans="1:17">
      <c r="A1021" s="7">
        <v>2025</v>
      </c>
      <c r="B1021" s="8" t="s">
        <v>434</v>
      </c>
      <c r="C1021" s="94" t="s">
        <v>435</v>
      </c>
      <c r="D1021" s="95">
        <v>3215062</v>
      </c>
      <c r="E1021" s="95">
        <v>2</v>
      </c>
      <c r="F1021" s="95"/>
      <c r="G1021" s="95">
        <v>101000</v>
      </c>
      <c r="H1021" s="95">
        <v>10.1</v>
      </c>
      <c r="I1021" s="95" t="s">
        <v>460</v>
      </c>
      <c r="J1021" s="95" t="s">
        <v>173</v>
      </c>
      <c r="K1021" s="95" t="b">
        <v>0</v>
      </c>
      <c r="L1021" s="95">
        <v>4</v>
      </c>
      <c r="M1021" s="96">
        <v>2029</v>
      </c>
      <c r="N1021" s="97">
        <v>0</v>
      </c>
      <c r="O1021" s="98">
        <v>46020</v>
      </c>
      <c r="P1021" s="98">
        <v>46020</v>
      </c>
      <c r="Q1021" s="99">
        <v>0</v>
      </c>
    </row>
    <row r="1022" spans="1:17">
      <c r="A1022" s="7">
        <v>2025</v>
      </c>
      <c r="B1022" s="8" t="s">
        <v>434</v>
      </c>
      <c r="C1022" s="94" t="s">
        <v>435</v>
      </c>
      <c r="D1022" s="95">
        <v>3215062</v>
      </c>
      <c r="E1022" s="95">
        <v>2</v>
      </c>
      <c r="F1022" s="95"/>
      <c r="G1022" s="95">
        <v>101000</v>
      </c>
      <c r="H1022" s="95">
        <v>10.1</v>
      </c>
      <c r="I1022" s="95" t="s">
        <v>460</v>
      </c>
      <c r="J1022" s="95" t="s">
        <v>173</v>
      </c>
      <c r="K1022" s="95" t="b">
        <v>0</v>
      </c>
      <c r="L1022" s="95">
        <v>3</v>
      </c>
      <c r="M1022" s="96">
        <v>2028</v>
      </c>
      <c r="N1022" s="97">
        <v>5513800</v>
      </c>
      <c r="O1022" s="98">
        <v>46020</v>
      </c>
      <c r="P1022" s="98">
        <v>46020</v>
      </c>
      <c r="Q1022" s="99">
        <v>0</v>
      </c>
    </row>
    <row r="1023" spans="1:17">
      <c r="A1023" s="7">
        <v>2025</v>
      </c>
      <c r="B1023" s="8" t="s">
        <v>434</v>
      </c>
      <c r="C1023" s="94" t="s">
        <v>435</v>
      </c>
      <c r="D1023" s="95">
        <v>3215062</v>
      </c>
      <c r="E1023" s="95">
        <v>2</v>
      </c>
      <c r="F1023" s="95"/>
      <c r="G1023" s="95">
        <v>101000</v>
      </c>
      <c r="H1023" s="95">
        <v>10.1</v>
      </c>
      <c r="I1023" s="95" t="s">
        <v>460</v>
      </c>
      <c r="J1023" s="95" t="s">
        <v>173</v>
      </c>
      <c r="K1023" s="95" t="b">
        <v>0</v>
      </c>
      <c r="L1023" s="95">
        <v>2</v>
      </c>
      <c r="M1023" s="96">
        <v>2027</v>
      </c>
      <c r="N1023" s="97">
        <v>14502790.6</v>
      </c>
      <c r="O1023" s="98">
        <v>46020</v>
      </c>
      <c r="P1023" s="98">
        <v>46020</v>
      </c>
      <c r="Q1023" s="99">
        <v>0</v>
      </c>
    </row>
    <row r="1024" spans="1:17">
      <c r="A1024" s="7">
        <v>2025</v>
      </c>
      <c r="B1024" s="8" t="s">
        <v>434</v>
      </c>
      <c r="C1024" s="94" t="s">
        <v>435</v>
      </c>
      <c r="D1024" s="95">
        <v>3215062</v>
      </c>
      <c r="E1024" s="95">
        <v>2</v>
      </c>
      <c r="F1024" s="95"/>
      <c r="G1024" s="95">
        <v>101000</v>
      </c>
      <c r="H1024" s="95">
        <v>10.1</v>
      </c>
      <c r="I1024" s="95" t="s">
        <v>460</v>
      </c>
      <c r="J1024" s="95" t="s">
        <v>173</v>
      </c>
      <c r="K1024" s="95" t="b">
        <v>0</v>
      </c>
      <c r="L1024" s="95">
        <v>0</v>
      </c>
      <c r="M1024" s="96">
        <v>2025</v>
      </c>
      <c r="N1024" s="97">
        <v>27115079.690000001</v>
      </c>
      <c r="O1024" s="98">
        <v>46020</v>
      </c>
      <c r="P1024" s="98">
        <v>46020</v>
      </c>
      <c r="Q1024" s="99">
        <v>0</v>
      </c>
    </row>
    <row r="1025" spans="1:17">
      <c r="A1025" s="7">
        <v>2025</v>
      </c>
      <c r="B1025" s="8" t="s">
        <v>434</v>
      </c>
      <c r="C1025" s="94" t="s">
        <v>435</v>
      </c>
      <c r="D1025" s="95">
        <v>3215062</v>
      </c>
      <c r="E1025" s="95">
        <v>2</v>
      </c>
      <c r="F1025" s="95"/>
      <c r="G1025" s="95">
        <v>101000</v>
      </c>
      <c r="H1025" s="95">
        <v>10.1</v>
      </c>
      <c r="I1025" s="95" t="s">
        <v>460</v>
      </c>
      <c r="J1025" s="95" t="s">
        <v>173</v>
      </c>
      <c r="K1025" s="95" t="b">
        <v>0</v>
      </c>
      <c r="L1025" s="95">
        <v>6</v>
      </c>
      <c r="M1025" s="96">
        <v>2031</v>
      </c>
      <c r="N1025" s="97">
        <v>0</v>
      </c>
      <c r="O1025" s="98">
        <v>46020</v>
      </c>
      <c r="P1025" s="98">
        <v>46020</v>
      </c>
      <c r="Q1025" s="99">
        <v>0</v>
      </c>
    </row>
    <row r="1026" spans="1:17">
      <c r="A1026" s="7">
        <v>2025</v>
      </c>
      <c r="B1026" s="8" t="s">
        <v>434</v>
      </c>
      <c r="C1026" s="94" t="s">
        <v>435</v>
      </c>
      <c r="D1026" s="95">
        <v>3215062</v>
      </c>
      <c r="E1026" s="95">
        <v>2</v>
      </c>
      <c r="F1026" s="95"/>
      <c r="G1026" s="95">
        <v>101000</v>
      </c>
      <c r="H1026" s="95">
        <v>10.1</v>
      </c>
      <c r="I1026" s="95" t="s">
        <v>460</v>
      </c>
      <c r="J1026" s="95" t="s">
        <v>173</v>
      </c>
      <c r="K1026" s="95" t="b">
        <v>0</v>
      </c>
      <c r="L1026" s="95">
        <v>7</v>
      </c>
      <c r="M1026" s="96">
        <v>2032</v>
      </c>
      <c r="N1026" s="97">
        <v>0</v>
      </c>
      <c r="O1026" s="98">
        <v>46020</v>
      </c>
      <c r="P1026" s="98">
        <v>46020</v>
      </c>
      <c r="Q1026" s="99">
        <v>0</v>
      </c>
    </row>
    <row r="1027" spans="1:17">
      <c r="A1027" s="7">
        <v>2025</v>
      </c>
      <c r="B1027" s="8" t="s">
        <v>434</v>
      </c>
      <c r="C1027" s="94" t="s">
        <v>435</v>
      </c>
      <c r="D1027" s="95">
        <v>3215062</v>
      </c>
      <c r="E1027" s="95">
        <v>2</v>
      </c>
      <c r="F1027" s="95"/>
      <c r="G1027" s="95">
        <v>101000</v>
      </c>
      <c r="H1027" s="95">
        <v>10.1</v>
      </c>
      <c r="I1027" s="95" t="s">
        <v>460</v>
      </c>
      <c r="J1027" s="95" t="s">
        <v>173</v>
      </c>
      <c r="K1027" s="95" t="b">
        <v>0</v>
      </c>
      <c r="L1027" s="95">
        <v>9</v>
      </c>
      <c r="M1027" s="96">
        <v>2034</v>
      </c>
      <c r="N1027" s="97">
        <v>0</v>
      </c>
      <c r="O1027" s="98">
        <v>46020</v>
      </c>
      <c r="P1027" s="98">
        <v>46020</v>
      </c>
      <c r="Q1027" s="99">
        <v>0</v>
      </c>
    </row>
    <row r="1028" spans="1:17">
      <c r="A1028" s="7">
        <v>2025</v>
      </c>
      <c r="B1028" s="8" t="s">
        <v>434</v>
      </c>
      <c r="C1028" s="94" t="s">
        <v>435</v>
      </c>
      <c r="D1028" s="95">
        <v>3215062</v>
      </c>
      <c r="E1028" s="95">
        <v>2</v>
      </c>
      <c r="F1028" s="95"/>
      <c r="G1028" s="95">
        <v>101000</v>
      </c>
      <c r="H1028" s="95">
        <v>10.1</v>
      </c>
      <c r="I1028" s="95" t="s">
        <v>460</v>
      </c>
      <c r="J1028" s="95" t="s">
        <v>173</v>
      </c>
      <c r="K1028" s="95" t="b">
        <v>0</v>
      </c>
      <c r="L1028" s="95">
        <v>5</v>
      </c>
      <c r="M1028" s="96">
        <v>2030</v>
      </c>
      <c r="N1028" s="97">
        <v>800000</v>
      </c>
      <c r="O1028" s="98">
        <v>46020</v>
      </c>
      <c r="P1028" s="98">
        <v>46020</v>
      </c>
      <c r="Q1028" s="99">
        <v>0</v>
      </c>
    </row>
    <row r="1029" spans="1:17">
      <c r="A1029" s="7">
        <v>2025</v>
      </c>
      <c r="B1029" s="8" t="s">
        <v>434</v>
      </c>
      <c r="C1029" s="94" t="s">
        <v>435</v>
      </c>
      <c r="D1029" s="95">
        <v>3215062</v>
      </c>
      <c r="E1029" s="95">
        <v>2</v>
      </c>
      <c r="F1029" s="95"/>
      <c r="G1029" s="95">
        <v>109110</v>
      </c>
      <c r="H1029" s="95">
        <v>10.11</v>
      </c>
      <c r="I1029" s="95"/>
      <c r="J1029" s="95" t="s">
        <v>461</v>
      </c>
      <c r="K1029" s="95" t="b">
        <v>1</v>
      </c>
      <c r="L1029" s="95">
        <v>3</v>
      </c>
      <c r="M1029" s="96">
        <v>2028</v>
      </c>
      <c r="N1029" s="97">
        <v>0</v>
      </c>
      <c r="O1029" s="98">
        <v>46020</v>
      </c>
      <c r="P1029" s="98">
        <v>46020</v>
      </c>
      <c r="Q1029" s="99">
        <v>0</v>
      </c>
    </row>
    <row r="1030" spans="1:17">
      <c r="A1030" s="7">
        <v>2025</v>
      </c>
      <c r="B1030" s="8" t="s">
        <v>434</v>
      </c>
      <c r="C1030" s="94" t="s">
        <v>435</v>
      </c>
      <c r="D1030" s="95">
        <v>3215062</v>
      </c>
      <c r="E1030" s="95">
        <v>2</v>
      </c>
      <c r="F1030" s="95"/>
      <c r="G1030" s="95">
        <v>109110</v>
      </c>
      <c r="H1030" s="95">
        <v>10.11</v>
      </c>
      <c r="I1030" s="95"/>
      <c r="J1030" s="95" t="s">
        <v>461</v>
      </c>
      <c r="K1030" s="95" t="b">
        <v>1</v>
      </c>
      <c r="L1030" s="95">
        <v>8</v>
      </c>
      <c r="M1030" s="96">
        <v>2033</v>
      </c>
      <c r="N1030" s="97">
        <v>0</v>
      </c>
      <c r="O1030" s="98">
        <v>46020</v>
      </c>
      <c r="P1030" s="98">
        <v>46020</v>
      </c>
      <c r="Q1030" s="99">
        <v>0</v>
      </c>
    </row>
    <row r="1031" spans="1:17">
      <c r="A1031" s="7">
        <v>2025</v>
      </c>
      <c r="B1031" s="8" t="s">
        <v>434</v>
      </c>
      <c r="C1031" s="94" t="s">
        <v>435</v>
      </c>
      <c r="D1031" s="95">
        <v>3215062</v>
      </c>
      <c r="E1031" s="95">
        <v>2</v>
      </c>
      <c r="F1031" s="95"/>
      <c r="G1031" s="95">
        <v>109110</v>
      </c>
      <c r="H1031" s="95">
        <v>10.11</v>
      </c>
      <c r="I1031" s="95"/>
      <c r="J1031" s="95" t="s">
        <v>461</v>
      </c>
      <c r="K1031" s="95" t="b">
        <v>1</v>
      </c>
      <c r="L1031" s="95">
        <v>4</v>
      </c>
      <c r="M1031" s="96">
        <v>2029</v>
      </c>
      <c r="N1031" s="97">
        <v>0</v>
      </c>
      <c r="O1031" s="98">
        <v>46020</v>
      </c>
      <c r="P1031" s="98">
        <v>46020</v>
      </c>
      <c r="Q1031" s="99">
        <v>0</v>
      </c>
    </row>
    <row r="1032" spans="1:17">
      <c r="A1032" s="7">
        <v>2025</v>
      </c>
      <c r="B1032" s="8" t="s">
        <v>434</v>
      </c>
      <c r="C1032" s="94" t="s">
        <v>435</v>
      </c>
      <c r="D1032" s="95">
        <v>3215062</v>
      </c>
      <c r="E1032" s="95">
        <v>2</v>
      </c>
      <c r="F1032" s="95"/>
      <c r="G1032" s="95">
        <v>109110</v>
      </c>
      <c r="H1032" s="95">
        <v>10.11</v>
      </c>
      <c r="I1032" s="95"/>
      <c r="J1032" s="95" t="s">
        <v>461</v>
      </c>
      <c r="K1032" s="95" t="b">
        <v>1</v>
      </c>
      <c r="L1032" s="95">
        <v>11</v>
      </c>
      <c r="M1032" s="96">
        <v>2036</v>
      </c>
      <c r="N1032" s="97">
        <v>0</v>
      </c>
      <c r="O1032" s="98">
        <v>46020</v>
      </c>
      <c r="P1032" s="98">
        <v>46020</v>
      </c>
      <c r="Q1032" s="99">
        <v>0</v>
      </c>
    </row>
    <row r="1033" spans="1:17">
      <c r="A1033" s="7">
        <v>2025</v>
      </c>
      <c r="B1033" s="8" t="s">
        <v>434</v>
      </c>
      <c r="C1033" s="94" t="s">
        <v>435</v>
      </c>
      <c r="D1033" s="95">
        <v>3215062</v>
      </c>
      <c r="E1033" s="95">
        <v>2</v>
      </c>
      <c r="F1033" s="95"/>
      <c r="G1033" s="95">
        <v>109110</v>
      </c>
      <c r="H1033" s="95">
        <v>10.11</v>
      </c>
      <c r="I1033" s="95"/>
      <c r="J1033" s="95" t="s">
        <v>461</v>
      </c>
      <c r="K1033" s="95" t="b">
        <v>1</v>
      </c>
      <c r="L1033" s="95">
        <v>1</v>
      </c>
      <c r="M1033" s="96">
        <v>2026</v>
      </c>
      <c r="N1033" s="97">
        <v>0</v>
      </c>
      <c r="O1033" s="98">
        <v>46020</v>
      </c>
      <c r="P1033" s="98">
        <v>46020</v>
      </c>
      <c r="Q1033" s="99">
        <v>0</v>
      </c>
    </row>
    <row r="1034" spans="1:17">
      <c r="A1034" s="7">
        <v>2025</v>
      </c>
      <c r="B1034" s="8" t="s">
        <v>434</v>
      </c>
      <c r="C1034" s="94" t="s">
        <v>435</v>
      </c>
      <c r="D1034" s="95">
        <v>3215062</v>
      </c>
      <c r="E1034" s="95">
        <v>2</v>
      </c>
      <c r="F1034" s="95"/>
      <c r="G1034" s="95">
        <v>109110</v>
      </c>
      <c r="H1034" s="95">
        <v>10.11</v>
      </c>
      <c r="I1034" s="95"/>
      <c r="J1034" s="95" t="s">
        <v>461</v>
      </c>
      <c r="K1034" s="95" t="b">
        <v>1</v>
      </c>
      <c r="L1034" s="95">
        <v>10</v>
      </c>
      <c r="M1034" s="96">
        <v>2035</v>
      </c>
      <c r="N1034" s="97">
        <v>0</v>
      </c>
      <c r="O1034" s="98">
        <v>46020</v>
      </c>
      <c r="P1034" s="98">
        <v>46020</v>
      </c>
      <c r="Q1034" s="99">
        <v>0</v>
      </c>
    </row>
    <row r="1035" spans="1:17">
      <c r="A1035" s="7">
        <v>2025</v>
      </c>
      <c r="B1035" s="8" t="s">
        <v>434</v>
      </c>
      <c r="C1035" s="94" t="s">
        <v>435</v>
      </c>
      <c r="D1035" s="95">
        <v>3215062</v>
      </c>
      <c r="E1035" s="95">
        <v>2</v>
      </c>
      <c r="F1035" s="95"/>
      <c r="G1035" s="95">
        <v>109110</v>
      </c>
      <c r="H1035" s="95">
        <v>10.11</v>
      </c>
      <c r="I1035" s="95"/>
      <c r="J1035" s="95" t="s">
        <v>461</v>
      </c>
      <c r="K1035" s="95" t="b">
        <v>1</v>
      </c>
      <c r="L1035" s="95">
        <v>12</v>
      </c>
      <c r="M1035" s="96">
        <v>2037</v>
      </c>
      <c r="N1035" s="97">
        <v>0</v>
      </c>
      <c r="O1035" s="98">
        <v>46020</v>
      </c>
      <c r="P1035" s="98">
        <v>46020</v>
      </c>
      <c r="Q1035" s="99">
        <v>0</v>
      </c>
    </row>
    <row r="1036" spans="1:17">
      <c r="A1036" s="7">
        <v>2025</v>
      </c>
      <c r="B1036" s="8" t="s">
        <v>434</v>
      </c>
      <c r="C1036" s="94" t="s">
        <v>435</v>
      </c>
      <c r="D1036" s="95">
        <v>3215062</v>
      </c>
      <c r="E1036" s="95">
        <v>2</v>
      </c>
      <c r="F1036" s="95"/>
      <c r="G1036" s="95">
        <v>109110</v>
      </c>
      <c r="H1036" s="95">
        <v>10.11</v>
      </c>
      <c r="I1036" s="95"/>
      <c r="J1036" s="95" t="s">
        <v>461</v>
      </c>
      <c r="K1036" s="95" t="b">
        <v>1</v>
      </c>
      <c r="L1036" s="95">
        <v>13</v>
      </c>
      <c r="M1036" s="96">
        <v>2038</v>
      </c>
      <c r="N1036" s="97">
        <v>0</v>
      </c>
      <c r="O1036" s="98">
        <v>46020</v>
      </c>
      <c r="P1036" s="98">
        <v>46020</v>
      </c>
      <c r="Q1036" s="99">
        <v>0</v>
      </c>
    </row>
    <row r="1037" spans="1:17">
      <c r="A1037" s="7">
        <v>2025</v>
      </c>
      <c r="B1037" s="8" t="s">
        <v>434</v>
      </c>
      <c r="C1037" s="94" t="s">
        <v>435</v>
      </c>
      <c r="D1037" s="95">
        <v>3215062</v>
      </c>
      <c r="E1037" s="95">
        <v>2</v>
      </c>
      <c r="F1037" s="95"/>
      <c r="G1037" s="95">
        <v>109110</v>
      </c>
      <c r="H1037" s="95">
        <v>10.11</v>
      </c>
      <c r="I1037" s="95"/>
      <c r="J1037" s="95" t="s">
        <v>461</v>
      </c>
      <c r="K1037" s="95" t="b">
        <v>1</v>
      </c>
      <c r="L1037" s="95">
        <v>0</v>
      </c>
      <c r="M1037" s="96">
        <v>2025</v>
      </c>
      <c r="N1037" s="97">
        <v>0</v>
      </c>
      <c r="O1037" s="98">
        <v>46020</v>
      </c>
      <c r="P1037" s="98">
        <v>46020</v>
      </c>
      <c r="Q1037" s="99">
        <v>0</v>
      </c>
    </row>
    <row r="1038" spans="1:17">
      <c r="A1038" s="7">
        <v>2025</v>
      </c>
      <c r="B1038" s="8" t="s">
        <v>434</v>
      </c>
      <c r="C1038" s="94" t="s">
        <v>435</v>
      </c>
      <c r="D1038" s="95">
        <v>3215062</v>
      </c>
      <c r="E1038" s="95">
        <v>2</v>
      </c>
      <c r="F1038" s="95"/>
      <c r="G1038" s="95">
        <v>109110</v>
      </c>
      <c r="H1038" s="95">
        <v>10.11</v>
      </c>
      <c r="I1038" s="95"/>
      <c r="J1038" s="95" t="s">
        <v>461</v>
      </c>
      <c r="K1038" s="95" t="b">
        <v>1</v>
      </c>
      <c r="L1038" s="95">
        <v>7</v>
      </c>
      <c r="M1038" s="96">
        <v>2032</v>
      </c>
      <c r="N1038" s="97">
        <v>0</v>
      </c>
      <c r="O1038" s="98">
        <v>46020</v>
      </c>
      <c r="P1038" s="98">
        <v>46020</v>
      </c>
      <c r="Q1038" s="99">
        <v>0</v>
      </c>
    </row>
    <row r="1039" spans="1:17">
      <c r="A1039" s="7">
        <v>2025</v>
      </c>
      <c r="B1039" s="8" t="s">
        <v>434</v>
      </c>
      <c r="C1039" s="94" t="s">
        <v>435</v>
      </c>
      <c r="D1039" s="95">
        <v>3215062</v>
      </c>
      <c r="E1039" s="95">
        <v>2</v>
      </c>
      <c r="F1039" s="95"/>
      <c r="G1039" s="95">
        <v>109110</v>
      </c>
      <c r="H1039" s="95">
        <v>10.11</v>
      </c>
      <c r="I1039" s="95"/>
      <c r="J1039" s="95" t="s">
        <v>461</v>
      </c>
      <c r="K1039" s="95" t="b">
        <v>1</v>
      </c>
      <c r="L1039" s="95">
        <v>6</v>
      </c>
      <c r="M1039" s="96">
        <v>2031</v>
      </c>
      <c r="N1039" s="97">
        <v>0</v>
      </c>
      <c r="O1039" s="98">
        <v>46020</v>
      </c>
      <c r="P1039" s="98">
        <v>46020</v>
      </c>
      <c r="Q1039" s="99">
        <v>0</v>
      </c>
    </row>
    <row r="1040" spans="1:17">
      <c r="A1040" s="7">
        <v>2025</v>
      </c>
      <c r="B1040" s="8" t="s">
        <v>434</v>
      </c>
      <c r="C1040" s="94" t="s">
        <v>435</v>
      </c>
      <c r="D1040" s="95">
        <v>3215062</v>
      </c>
      <c r="E1040" s="95">
        <v>2</v>
      </c>
      <c r="F1040" s="95"/>
      <c r="G1040" s="95">
        <v>109110</v>
      </c>
      <c r="H1040" s="95">
        <v>10.11</v>
      </c>
      <c r="I1040" s="95"/>
      <c r="J1040" s="95" t="s">
        <v>461</v>
      </c>
      <c r="K1040" s="95" t="b">
        <v>1</v>
      </c>
      <c r="L1040" s="95">
        <v>9</v>
      </c>
      <c r="M1040" s="96">
        <v>2034</v>
      </c>
      <c r="N1040" s="97">
        <v>0</v>
      </c>
      <c r="O1040" s="98">
        <v>46020</v>
      </c>
      <c r="P1040" s="98">
        <v>46020</v>
      </c>
      <c r="Q1040" s="99">
        <v>0</v>
      </c>
    </row>
    <row r="1041" spans="1:17">
      <c r="A1041" s="7">
        <v>2025</v>
      </c>
      <c r="B1041" s="8" t="s">
        <v>434</v>
      </c>
      <c r="C1041" s="94" t="s">
        <v>435</v>
      </c>
      <c r="D1041" s="95">
        <v>3215062</v>
      </c>
      <c r="E1041" s="95">
        <v>2</v>
      </c>
      <c r="F1041" s="95"/>
      <c r="G1041" s="95">
        <v>109110</v>
      </c>
      <c r="H1041" s="95">
        <v>10.11</v>
      </c>
      <c r="I1041" s="95"/>
      <c r="J1041" s="95" t="s">
        <v>461</v>
      </c>
      <c r="K1041" s="95" t="b">
        <v>1</v>
      </c>
      <c r="L1041" s="95">
        <v>2</v>
      </c>
      <c r="M1041" s="96">
        <v>2027</v>
      </c>
      <c r="N1041" s="97">
        <v>0</v>
      </c>
      <c r="O1041" s="98">
        <v>46020</v>
      </c>
      <c r="P1041" s="98">
        <v>46020</v>
      </c>
      <c r="Q1041" s="99">
        <v>0</v>
      </c>
    </row>
    <row r="1042" spans="1:17">
      <c r="A1042" s="7">
        <v>2025</v>
      </c>
      <c r="B1042" s="8" t="s">
        <v>434</v>
      </c>
      <c r="C1042" s="94" t="s">
        <v>435</v>
      </c>
      <c r="D1042" s="95">
        <v>3215062</v>
      </c>
      <c r="E1042" s="95">
        <v>2</v>
      </c>
      <c r="F1042" s="95"/>
      <c r="G1042" s="95">
        <v>109110</v>
      </c>
      <c r="H1042" s="95">
        <v>10.11</v>
      </c>
      <c r="I1042" s="95"/>
      <c r="J1042" s="95" t="s">
        <v>461</v>
      </c>
      <c r="K1042" s="95" t="b">
        <v>1</v>
      </c>
      <c r="L1042" s="95">
        <v>5</v>
      </c>
      <c r="M1042" s="96">
        <v>2030</v>
      </c>
      <c r="N1042" s="97">
        <v>0</v>
      </c>
      <c r="O1042" s="98">
        <v>46020</v>
      </c>
      <c r="P1042" s="98">
        <v>46020</v>
      </c>
      <c r="Q1042" s="99">
        <v>0</v>
      </c>
    </row>
    <row r="1043" spans="1:17">
      <c r="A1043" s="7">
        <v>2025</v>
      </c>
      <c r="B1043" s="8" t="s">
        <v>434</v>
      </c>
      <c r="C1043" s="94" t="s">
        <v>435</v>
      </c>
      <c r="D1043" s="95">
        <v>3215062</v>
      </c>
      <c r="E1043" s="95">
        <v>2</v>
      </c>
      <c r="F1043" s="95"/>
      <c r="G1043" s="95">
        <v>94100</v>
      </c>
      <c r="H1043" s="95" t="s">
        <v>217</v>
      </c>
      <c r="I1043" s="95"/>
      <c r="J1043" s="95" t="s">
        <v>171</v>
      </c>
      <c r="K1043" s="95" t="b">
        <v>1</v>
      </c>
      <c r="L1043" s="95">
        <v>4</v>
      </c>
      <c r="M1043" s="96">
        <v>2029</v>
      </c>
      <c r="N1043" s="97">
        <v>0</v>
      </c>
      <c r="O1043" s="98">
        <v>46020</v>
      </c>
      <c r="P1043" s="98">
        <v>46020</v>
      </c>
      <c r="Q1043" s="99">
        <v>0</v>
      </c>
    </row>
    <row r="1044" spans="1:17">
      <c r="A1044" s="7">
        <v>2025</v>
      </c>
      <c r="B1044" s="8" t="s">
        <v>434</v>
      </c>
      <c r="C1044" s="94" t="s">
        <v>435</v>
      </c>
      <c r="D1044" s="95">
        <v>3215062</v>
      </c>
      <c r="E1044" s="95">
        <v>2</v>
      </c>
      <c r="F1044" s="95"/>
      <c r="G1044" s="95">
        <v>94100</v>
      </c>
      <c r="H1044" s="95" t="s">
        <v>217</v>
      </c>
      <c r="I1044" s="95"/>
      <c r="J1044" s="95" t="s">
        <v>171</v>
      </c>
      <c r="K1044" s="95" t="b">
        <v>1</v>
      </c>
      <c r="L1044" s="95">
        <v>2</v>
      </c>
      <c r="M1044" s="96">
        <v>2027</v>
      </c>
      <c r="N1044" s="97">
        <v>7259642.9199999999</v>
      </c>
      <c r="O1044" s="98">
        <v>46020</v>
      </c>
      <c r="P1044" s="98">
        <v>46020</v>
      </c>
      <c r="Q1044" s="99">
        <v>0</v>
      </c>
    </row>
    <row r="1045" spans="1:17">
      <c r="A1045" s="7">
        <v>2025</v>
      </c>
      <c r="B1045" s="8" t="s">
        <v>434</v>
      </c>
      <c r="C1045" s="94" t="s">
        <v>435</v>
      </c>
      <c r="D1045" s="95">
        <v>3215062</v>
      </c>
      <c r="E1045" s="95">
        <v>2</v>
      </c>
      <c r="F1045" s="95"/>
      <c r="G1045" s="95">
        <v>94100</v>
      </c>
      <c r="H1045" s="95" t="s">
        <v>217</v>
      </c>
      <c r="I1045" s="95"/>
      <c r="J1045" s="95" t="s">
        <v>171</v>
      </c>
      <c r="K1045" s="95" t="b">
        <v>1</v>
      </c>
      <c r="L1045" s="95">
        <v>5</v>
      </c>
      <c r="M1045" s="96">
        <v>2030</v>
      </c>
      <c r="N1045" s="97">
        <v>800000</v>
      </c>
      <c r="O1045" s="98">
        <v>46020</v>
      </c>
      <c r="P1045" s="98">
        <v>46020</v>
      </c>
      <c r="Q1045" s="99">
        <v>0</v>
      </c>
    </row>
    <row r="1046" spans="1:17">
      <c r="A1046" s="7">
        <v>2025</v>
      </c>
      <c r="B1046" s="8" t="s">
        <v>434</v>
      </c>
      <c r="C1046" s="94" t="s">
        <v>435</v>
      </c>
      <c r="D1046" s="95">
        <v>3215062</v>
      </c>
      <c r="E1046" s="95">
        <v>2</v>
      </c>
      <c r="F1046" s="95"/>
      <c r="G1046" s="95">
        <v>94100</v>
      </c>
      <c r="H1046" s="95" t="s">
        <v>217</v>
      </c>
      <c r="I1046" s="95"/>
      <c r="J1046" s="95" t="s">
        <v>171</v>
      </c>
      <c r="K1046" s="95" t="b">
        <v>1</v>
      </c>
      <c r="L1046" s="95">
        <v>0</v>
      </c>
      <c r="M1046" s="96">
        <v>2025</v>
      </c>
      <c r="N1046" s="97">
        <v>4467565.57</v>
      </c>
      <c r="O1046" s="98">
        <v>46020</v>
      </c>
      <c r="P1046" s="98">
        <v>46020</v>
      </c>
      <c r="Q1046" s="99">
        <v>0</v>
      </c>
    </row>
    <row r="1047" spans="1:17">
      <c r="A1047" s="7">
        <v>2025</v>
      </c>
      <c r="B1047" s="8" t="s">
        <v>434</v>
      </c>
      <c r="C1047" s="94" t="s">
        <v>435</v>
      </c>
      <c r="D1047" s="95">
        <v>3215062</v>
      </c>
      <c r="E1047" s="95">
        <v>2</v>
      </c>
      <c r="F1047" s="95"/>
      <c r="G1047" s="95">
        <v>94100</v>
      </c>
      <c r="H1047" s="95" t="s">
        <v>217</v>
      </c>
      <c r="I1047" s="95"/>
      <c r="J1047" s="95" t="s">
        <v>171</v>
      </c>
      <c r="K1047" s="95" t="b">
        <v>1</v>
      </c>
      <c r="L1047" s="95">
        <v>11</v>
      </c>
      <c r="M1047" s="96">
        <v>2036</v>
      </c>
      <c r="N1047" s="97">
        <v>0</v>
      </c>
      <c r="O1047" s="98">
        <v>46020</v>
      </c>
      <c r="P1047" s="98">
        <v>46020</v>
      </c>
      <c r="Q1047" s="99">
        <v>0</v>
      </c>
    </row>
    <row r="1048" spans="1:17">
      <c r="A1048" s="7">
        <v>2025</v>
      </c>
      <c r="B1048" s="8" t="s">
        <v>434</v>
      </c>
      <c r="C1048" s="94" t="s">
        <v>435</v>
      </c>
      <c r="D1048" s="95">
        <v>3215062</v>
      </c>
      <c r="E1048" s="95">
        <v>2</v>
      </c>
      <c r="F1048" s="95"/>
      <c r="G1048" s="95">
        <v>94100</v>
      </c>
      <c r="H1048" s="95" t="s">
        <v>217</v>
      </c>
      <c r="I1048" s="95"/>
      <c r="J1048" s="95" t="s">
        <v>171</v>
      </c>
      <c r="K1048" s="95" t="b">
        <v>1</v>
      </c>
      <c r="L1048" s="95">
        <v>10</v>
      </c>
      <c r="M1048" s="96">
        <v>2035</v>
      </c>
      <c r="N1048" s="97">
        <v>0</v>
      </c>
      <c r="O1048" s="98">
        <v>46020</v>
      </c>
      <c r="P1048" s="98">
        <v>46020</v>
      </c>
      <c r="Q1048" s="99">
        <v>0</v>
      </c>
    </row>
    <row r="1049" spans="1:17">
      <c r="A1049" s="7">
        <v>2025</v>
      </c>
      <c r="B1049" s="8" t="s">
        <v>434</v>
      </c>
      <c r="C1049" s="94" t="s">
        <v>435</v>
      </c>
      <c r="D1049" s="95">
        <v>3215062</v>
      </c>
      <c r="E1049" s="95">
        <v>2</v>
      </c>
      <c r="F1049" s="95"/>
      <c r="G1049" s="95">
        <v>94100</v>
      </c>
      <c r="H1049" s="95" t="s">
        <v>217</v>
      </c>
      <c r="I1049" s="95"/>
      <c r="J1049" s="95" t="s">
        <v>171</v>
      </c>
      <c r="K1049" s="95" t="b">
        <v>1</v>
      </c>
      <c r="L1049" s="95">
        <v>8</v>
      </c>
      <c r="M1049" s="96">
        <v>2033</v>
      </c>
      <c r="N1049" s="97">
        <v>0</v>
      </c>
      <c r="O1049" s="98">
        <v>46020</v>
      </c>
      <c r="P1049" s="98">
        <v>46020</v>
      </c>
      <c r="Q1049" s="99">
        <v>0</v>
      </c>
    </row>
    <row r="1050" spans="1:17">
      <c r="A1050" s="7">
        <v>2025</v>
      </c>
      <c r="B1050" s="8" t="s">
        <v>434</v>
      </c>
      <c r="C1050" s="94" t="s">
        <v>435</v>
      </c>
      <c r="D1050" s="95">
        <v>3215062</v>
      </c>
      <c r="E1050" s="95">
        <v>2</v>
      </c>
      <c r="F1050" s="95"/>
      <c r="G1050" s="95">
        <v>94100</v>
      </c>
      <c r="H1050" s="95" t="s">
        <v>217</v>
      </c>
      <c r="I1050" s="95"/>
      <c r="J1050" s="95" t="s">
        <v>171</v>
      </c>
      <c r="K1050" s="95" t="b">
        <v>1</v>
      </c>
      <c r="L1050" s="95">
        <v>6</v>
      </c>
      <c r="M1050" s="96">
        <v>2031</v>
      </c>
      <c r="N1050" s="97">
        <v>0</v>
      </c>
      <c r="O1050" s="98">
        <v>46020</v>
      </c>
      <c r="P1050" s="98">
        <v>46020</v>
      </c>
      <c r="Q1050" s="99">
        <v>0</v>
      </c>
    </row>
    <row r="1051" spans="1:17">
      <c r="A1051" s="7">
        <v>2025</v>
      </c>
      <c r="B1051" s="8" t="s">
        <v>434</v>
      </c>
      <c r="C1051" s="94" t="s">
        <v>435</v>
      </c>
      <c r="D1051" s="95">
        <v>3215062</v>
      </c>
      <c r="E1051" s="95">
        <v>2</v>
      </c>
      <c r="F1051" s="95"/>
      <c r="G1051" s="95">
        <v>94100</v>
      </c>
      <c r="H1051" s="95" t="s">
        <v>217</v>
      </c>
      <c r="I1051" s="95"/>
      <c r="J1051" s="95" t="s">
        <v>171</v>
      </c>
      <c r="K1051" s="95" t="b">
        <v>1</v>
      </c>
      <c r="L1051" s="95">
        <v>7</v>
      </c>
      <c r="M1051" s="96">
        <v>2032</v>
      </c>
      <c r="N1051" s="97">
        <v>0</v>
      </c>
      <c r="O1051" s="98">
        <v>46020</v>
      </c>
      <c r="P1051" s="98">
        <v>46020</v>
      </c>
      <c r="Q1051" s="99">
        <v>0</v>
      </c>
    </row>
    <row r="1052" spans="1:17">
      <c r="A1052" s="7">
        <v>2025</v>
      </c>
      <c r="B1052" s="8" t="s">
        <v>434</v>
      </c>
      <c r="C1052" s="94" t="s">
        <v>435</v>
      </c>
      <c r="D1052" s="95">
        <v>3215062</v>
      </c>
      <c r="E1052" s="95">
        <v>2</v>
      </c>
      <c r="F1052" s="95"/>
      <c r="G1052" s="95">
        <v>94100</v>
      </c>
      <c r="H1052" s="95" t="s">
        <v>217</v>
      </c>
      <c r="I1052" s="95"/>
      <c r="J1052" s="95" t="s">
        <v>171</v>
      </c>
      <c r="K1052" s="95" t="b">
        <v>1</v>
      </c>
      <c r="L1052" s="95">
        <v>12</v>
      </c>
      <c r="M1052" s="96">
        <v>2037</v>
      </c>
      <c r="N1052" s="97">
        <v>0</v>
      </c>
      <c r="O1052" s="98">
        <v>46020</v>
      </c>
      <c r="P1052" s="98">
        <v>46020</v>
      </c>
      <c r="Q1052" s="99">
        <v>0</v>
      </c>
    </row>
    <row r="1053" spans="1:17">
      <c r="A1053" s="7">
        <v>2025</v>
      </c>
      <c r="B1053" s="8" t="s">
        <v>434</v>
      </c>
      <c r="C1053" s="94" t="s">
        <v>435</v>
      </c>
      <c r="D1053" s="95">
        <v>3215062</v>
      </c>
      <c r="E1053" s="95">
        <v>2</v>
      </c>
      <c r="F1053" s="95"/>
      <c r="G1053" s="95">
        <v>94100</v>
      </c>
      <c r="H1053" s="95" t="s">
        <v>217</v>
      </c>
      <c r="I1053" s="95"/>
      <c r="J1053" s="95" t="s">
        <v>171</v>
      </c>
      <c r="K1053" s="95" t="b">
        <v>1</v>
      </c>
      <c r="L1053" s="95">
        <v>13</v>
      </c>
      <c r="M1053" s="96">
        <v>2038</v>
      </c>
      <c r="N1053" s="97">
        <v>0</v>
      </c>
      <c r="O1053" s="98">
        <v>46020</v>
      </c>
      <c r="P1053" s="98">
        <v>46020</v>
      </c>
      <c r="Q1053" s="99">
        <v>0</v>
      </c>
    </row>
    <row r="1054" spans="1:17">
      <c r="A1054" s="7">
        <v>2025</v>
      </c>
      <c r="B1054" s="8" t="s">
        <v>434</v>
      </c>
      <c r="C1054" s="94" t="s">
        <v>435</v>
      </c>
      <c r="D1054" s="95">
        <v>3215062</v>
      </c>
      <c r="E1054" s="95">
        <v>2</v>
      </c>
      <c r="F1054" s="95"/>
      <c r="G1054" s="95">
        <v>94100</v>
      </c>
      <c r="H1054" s="95" t="s">
        <v>217</v>
      </c>
      <c r="I1054" s="95"/>
      <c r="J1054" s="95" t="s">
        <v>171</v>
      </c>
      <c r="K1054" s="95" t="b">
        <v>1</v>
      </c>
      <c r="L1054" s="95">
        <v>1</v>
      </c>
      <c r="M1054" s="96">
        <v>2026</v>
      </c>
      <c r="N1054" s="97">
        <v>8861481.2799999993</v>
      </c>
      <c r="O1054" s="98">
        <v>46020</v>
      </c>
      <c r="P1054" s="98">
        <v>46020</v>
      </c>
      <c r="Q1054" s="99">
        <v>0</v>
      </c>
    </row>
    <row r="1055" spans="1:17">
      <c r="A1055" s="7">
        <v>2025</v>
      </c>
      <c r="B1055" s="8" t="s">
        <v>434</v>
      </c>
      <c r="C1055" s="94" t="s">
        <v>435</v>
      </c>
      <c r="D1055" s="95">
        <v>3215062</v>
      </c>
      <c r="E1055" s="95">
        <v>2</v>
      </c>
      <c r="F1055" s="95"/>
      <c r="G1055" s="95">
        <v>94100</v>
      </c>
      <c r="H1055" s="95" t="s">
        <v>217</v>
      </c>
      <c r="I1055" s="95"/>
      <c r="J1055" s="95" t="s">
        <v>171</v>
      </c>
      <c r="K1055" s="95" t="b">
        <v>1</v>
      </c>
      <c r="L1055" s="95">
        <v>3</v>
      </c>
      <c r="M1055" s="96">
        <v>2028</v>
      </c>
      <c r="N1055" s="97">
        <v>1500000</v>
      </c>
      <c r="O1055" s="98">
        <v>46020</v>
      </c>
      <c r="P1055" s="98">
        <v>46020</v>
      </c>
      <c r="Q1055" s="99">
        <v>0</v>
      </c>
    </row>
    <row r="1056" spans="1:17">
      <c r="A1056" s="7">
        <v>2025</v>
      </c>
      <c r="B1056" s="8" t="s">
        <v>434</v>
      </c>
      <c r="C1056" s="94" t="s">
        <v>435</v>
      </c>
      <c r="D1056" s="95">
        <v>3215062</v>
      </c>
      <c r="E1056" s="95">
        <v>2</v>
      </c>
      <c r="F1056" s="95"/>
      <c r="G1056" s="95">
        <v>94100</v>
      </c>
      <c r="H1056" s="95" t="s">
        <v>217</v>
      </c>
      <c r="I1056" s="95"/>
      <c r="J1056" s="95" t="s">
        <v>171</v>
      </c>
      <c r="K1056" s="95" t="b">
        <v>1</v>
      </c>
      <c r="L1056" s="95">
        <v>9</v>
      </c>
      <c r="M1056" s="96">
        <v>2034</v>
      </c>
      <c r="N1056" s="97">
        <v>0</v>
      </c>
      <c r="O1056" s="98">
        <v>46020</v>
      </c>
      <c r="P1056" s="98">
        <v>46020</v>
      </c>
      <c r="Q1056" s="99">
        <v>0</v>
      </c>
    </row>
    <row r="1057" spans="1:17">
      <c r="A1057" s="7">
        <v>2025</v>
      </c>
      <c r="B1057" s="8" t="s">
        <v>434</v>
      </c>
      <c r="C1057" s="94" t="s">
        <v>435</v>
      </c>
      <c r="D1057" s="95">
        <v>3215062</v>
      </c>
      <c r="E1057" s="95">
        <v>2</v>
      </c>
      <c r="F1057" s="95"/>
      <c r="G1057" s="95">
        <v>112000</v>
      </c>
      <c r="H1057" s="95">
        <v>11.2</v>
      </c>
      <c r="I1057" s="95"/>
      <c r="J1057" s="95" t="s">
        <v>462</v>
      </c>
      <c r="K1057" s="95" t="b">
        <v>1</v>
      </c>
      <c r="L1057" s="95">
        <v>1</v>
      </c>
      <c r="M1057" s="96">
        <v>2026</v>
      </c>
      <c r="N1057" s="97">
        <v>0</v>
      </c>
      <c r="O1057" s="98">
        <v>46020</v>
      </c>
      <c r="P1057" s="98">
        <v>46020</v>
      </c>
      <c r="Q1057" s="99">
        <v>0</v>
      </c>
    </row>
    <row r="1058" spans="1:17">
      <c r="A1058" s="7">
        <v>2025</v>
      </c>
      <c r="B1058" s="8" t="s">
        <v>434</v>
      </c>
      <c r="C1058" s="94" t="s">
        <v>435</v>
      </c>
      <c r="D1058" s="95">
        <v>3215062</v>
      </c>
      <c r="E1058" s="95">
        <v>2</v>
      </c>
      <c r="F1058" s="95"/>
      <c r="G1058" s="95">
        <v>112000</v>
      </c>
      <c r="H1058" s="95">
        <v>11.2</v>
      </c>
      <c r="I1058" s="95"/>
      <c r="J1058" s="95" t="s">
        <v>462</v>
      </c>
      <c r="K1058" s="95" t="b">
        <v>1</v>
      </c>
      <c r="L1058" s="95">
        <v>13</v>
      </c>
      <c r="M1058" s="96">
        <v>2038</v>
      </c>
      <c r="N1058" s="97">
        <v>0</v>
      </c>
      <c r="O1058" s="98">
        <v>46020</v>
      </c>
      <c r="P1058" s="98">
        <v>46020</v>
      </c>
      <c r="Q1058" s="99">
        <v>0</v>
      </c>
    </row>
    <row r="1059" spans="1:17">
      <c r="A1059" s="7">
        <v>2025</v>
      </c>
      <c r="B1059" s="8" t="s">
        <v>434</v>
      </c>
      <c r="C1059" s="94" t="s">
        <v>435</v>
      </c>
      <c r="D1059" s="95">
        <v>3215062</v>
      </c>
      <c r="E1059" s="95">
        <v>2</v>
      </c>
      <c r="F1059" s="95"/>
      <c r="G1059" s="95">
        <v>112000</v>
      </c>
      <c r="H1059" s="95">
        <v>11.2</v>
      </c>
      <c r="I1059" s="95"/>
      <c r="J1059" s="95" t="s">
        <v>462</v>
      </c>
      <c r="K1059" s="95" t="b">
        <v>1</v>
      </c>
      <c r="L1059" s="95">
        <v>0</v>
      </c>
      <c r="M1059" s="96">
        <v>2025</v>
      </c>
      <c r="N1059" s="97">
        <v>0</v>
      </c>
      <c r="O1059" s="98">
        <v>46020</v>
      </c>
      <c r="P1059" s="98">
        <v>46020</v>
      </c>
      <c r="Q1059" s="99">
        <v>0</v>
      </c>
    </row>
    <row r="1060" spans="1:17">
      <c r="A1060" s="7">
        <v>2025</v>
      </c>
      <c r="B1060" s="8" t="s">
        <v>434</v>
      </c>
      <c r="C1060" s="94" t="s">
        <v>435</v>
      </c>
      <c r="D1060" s="95">
        <v>3215062</v>
      </c>
      <c r="E1060" s="95">
        <v>2</v>
      </c>
      <c r="F1060" s="95"/>
      <c r="G1060" s="95">
        <v>112000</v>
      </c>
      <c r="H1060" s="95">
        <v>11.2</v>
      </c>
      <c r="I1060" s="95"/>
      <c r="J1060" s="95" t="s">
        <v>462</v>
      </c>
      <c r="K1060" s="95" t="b">
        <v>1</v>
      </c>
      <c r="L1060" s="95">
        <v>8</v>
      </c>
      <c r="M1060" s="96">
        <v>2033</v>
      </c>
      <c r="N1060" s="97">
        <v>0</v>
      </c>
      <c r="O1060" s="98">
        <v>46020</v>
      </c>
      <c r="P1060" s="98">
        <v>46020</v>
      </c>
      <c r="Q1060" s="99">
        <v>0</v>
      </c>
    </row>
    <row r="1061" spans="1:17">
      <c r="A1061" s="7">
        <v>2025</v>
      </c>
      <c r="B1061" s="8" t="s">
        <v>434</v>
      </c>
      <c r="C1061" s="94" t="s">
        <v>435</v>
      </c>
      <c r="D1061" s="95">
        <v>3215062</v>
      </c>
      <c r="E1061" s="95">
        <v>2</v>
      </c>
      <c r="F1061" s="95"/>
      <c r="G1061" s="95">
        <v>112000</v>
      </c>
      <c r="H1061" s="95">
        <v>11.2</v>
      </c>
      <c r="I1061" s="95"/>
      <c r="J1061" s="95" t="s">
        <v>462</v>
      </c>
      <c r="K1061" s="95" t="b">
        <v>1</v>
      </c>
      <c r="L1061" s="95">
        <v>5</v>
      </c>
      <c r="M1061" s="96">
        <v>2030</v>
      </c>
      <c r="N1061" s="97">
        <v>0</v>
      </c>
      <c r="O1061" s="98">
        <v>46020</v>
      </c>
      <c r="P1061" s="98">
        <v>46020</v>
      </c>
      <c r="Q1061" s="99">
        <v>0</v>
      </c>
    </row>
    <row r="1062" spans="1:17">
      <c r="A1062" s="7">
        <v>2025</v>
      </c>
      <c r="B1062" s="8" t="s">
        <v>434</v>
      </c>
      <c r="C1062" s="94" t="s">
        <v>435</v>
      </c>
      <c r="D1062" s="95">
        <v>3215062</v>
      </c>
      <c r="E1062" s="95">
        <v>2</v>
      </c>
      <c r="F1062" s="95"/>
      <c r="G1062" s="95">
        <v>112000</v>
      </c>
      <c r="H1062" s="95">
        <v>11.2</v>
      </c>
      <c r="I1062" s="95"/>
      <c r="J1062" s="95" t="s">
        <v>462</v>
      </c>
      <c r="K1062" s="95" t="b">
        <v>1</v>
      </c>
      <c r="L1062" s="95">
        <v>4</v>
      </c>
      <c r="M1062" s="96">
        <v>2029</v>
      </c>
      <c r="N1062" s="97">
        <v>0</v>
      </c>
      <c r="O1062" s="98">
        <v>46020</v>
      </c>
      <c r="P1062" s="98">
        <v>46020</v>
      </c>
      <c r="Q1062" s="99">
        <v>0</v>
      </c>
    </row>
    <row r="1063" spans="1:17">
      <c r="A1063" s="7">
        <v>2025</v>
      </c>
      <c r="B1063" s="8" t="s">
        <v>434</v>
      </c>
      <c r="C1063" s="94" t="s">
        <v>435</v>
      </c>
      <c r="D1063" s="95">
        <v>3215062</v>
      </c>
      <c r="E1063" s="95">
        <v>2</v>
      </c>
      <c r="F1063" s="95"/>
      <c r="G1063" s="95">
        <v>112000</v>
      </c>
      <c r="H1063" s="95">
        <v>11.2</v>
      </c>
      <c r="I1063" s="95"/>
      <c r="J1063" s="95" t="s">
        <v>462</v>
      </c>
      <c r="K1063" s="95" t="b">
        <v>1</v>
      </c>
      <c r="L1063" s="95">
        <v>3</v>
      </c>
      <c r="M1063" s="96">
        <v>2028</v>
      </c>
      <c r="N1063" s="97">
        <v>0</v>
      </c>
      <c r="O1063" s="98">
        <v>46020</v>
      </c>
      <c r="P1063" s="98">
        <v>46020</v>
      </c>
      <c r="Q1063" s="99">
        <v>0</v>
      </c>
    </row>
    <row r="1064" spans="1:17">
      <c r="A1064" s="7">
        <v>2025</v>
      </c>
      <c r="B1064" s="8" t="s">
        <v>434</v>
      </c>
      <c r="C1064" s="94" t="s">
        <v>435</v>
      </c>
      <c r="D1064" s="95">
        <v>3215062</v>
      </c>
      <c r="E1064" s="95">
        <v>2</v>
      </c>
      <c r="F1064" s="95"/>
      <c r="G1064" s="95">
        <v>112000</v>
      </c>
      <c r="H1064" s="95">
        <v>11.2</v>
      </c>
      <c r="I1064" s="95"/>
      <c r="J1064" s="95" t="s">
        <v>462</v>
      </c>
      <c r="K1064" s="95" t="b">
        <v>1</v>
      </c>
      <c r="L1064" s="95">
        <v>10</v>
      </c>
      <c r="M1064" s="96">
        <v>2035</v>
      </c>
      <c r="N1064" s="97">
        <v>0</v>
      </c>
      <c r="O1064" s="98">
        <v>46020</v>
      </c>
      <c r="P1064" s="98">
        <v>46020</v>
      </c>
      <c r="Q1064" s="99">
        <v>0</v>
      </c>
    </row>
    <row r="1065" spans="1:17">
      <c r="A1065" s="7">
        <v>2025</v>
      </c>
      <c r="B1065" s="8" t="s">
        <v>434</v>
      </c>
      <c r="C1065" s="94" t="s">
        <v>435</v>
      </c>
      <c r="D1065" s="95">
        <v>3215062</v>
      </c>
      <c r="E1065" s="95">
        <v>2</v>
      </c>
      <c r="F1065" s="95"/>
      <c r="G1065" s="95">
        <v>112000</v>
      </c>
      <c r="H1065" s="95">
        <v>11.2</v>
      </c>
      <c r="I1065" s="95"/>
      <c r="J1065" s="95" t="s">
        <v>462</v>
      </c>
      <c r="K1065" s="95" t="b">
        <v>1</v>
      </c>
      <c r="L1065" s="95">
        <v>9</v>
      </c>
      <c r="M1065" s="96">
        <v>2034</v>
      </c>
      <c r="N1065" s="97">
        <v>0</v>
      </c>
      <c r="O1065" s="98">
        <v>46020</v>
      </c>
      <c r="P1065" s="98">
        <v>46020</v>
      </c>
      <c r="Q1065" s="99">
        <v>0</v>
      </c>
    </row>
    <row r="1066" spans="1:17">
      <c r="A1066" s="7">
        <v>2025</v>
      </c>
      <c r="B1066" s="8" t="s">
        <v>434</v>
      </c>
      <c r="C1066" s="94" t="s">
        <v>435</v>
      </c>
      <c r="D1066" s="95">
        <v>3215062</v>
      </c>
      <c r="E1066" s="95">
        <v>2</v>
      </c>
      <c r="F1066" s="95"/>
      <c r="G1066" s="95">
        <v>112000</v>
      </c>
      <c r="H1066" s="95">
        <v>11.2</v>
      </c>
      <c r="I1066" s="95"/>
      <c r="J1066" s="95" t="s">
        <v>462</v>
      </c>
      <c r="K1066" s="95" t="b">
        <v>1</v>
      </c>
      <c r="L1066" s="95">
        <v>2</v>
      </c>
      <c r="M1066" s="96">
        <v>2027</v>
      </c>
      <c r="N1066" s="97">
        <v>0</v>
      </c>
      <c r="O1066" s="98">
        <v>46020</v>
      </c>
      <c r="P1066" s="98">
        <v>46020</v>
      </c>
      <c r="Q1066" s="99">
        <v>0</v>
      </c>
    </row>
    <row r="1067" spans="1:17">
      <c r="A1067" s="7">
        <v>2025</v>
      </c>
      <c r="B1067" s="8" t="s">
        <v>434</v>
      </c>
      <c r="C1067" s="94" t="s">
        <v>435</v>
      </c>
      <c r="D1067" s="95">
        <v>3215062</v>
      </c>
      <c r="E1067" s="95">
        <v>2</v>
      </c>
      <c r="F1067" s="95"/>
      <c r="G1067" s="95">
        <v>112000</v>
      </c>
      <c r="H1067" s="95">
        <v>11.2</v>
      </c>
      <c r="I1067" s="95"/>
      <c r="J1067" s="95" t="s">
        <v>462</v>
      </c>
      <c r="K1067" s="95" t="b">
        <v>1</v>
      </c>
      <c r="L1067" s="95">
        <v>6</v>
      </c>
      <c r="M1067" s="96">
        <v>2031</v>
      </c>
      <c r="N1067" s="97">
        <v>0</v>
      </c>
      <c r="O1067" s="98">
        <v>46020</v>
      </c>
      <c r="P1067" s="98">
        <v>46020</v>
      </c>
      <c r="Q1067" s="99">
        <v>0</v>
      </c>
    </row>
    <row r="1068" spans="1:17">
      <c r="A1068" s="7">
        <v>2025</v>
      </c>
      <c r="B1068" s="8" t="s">
        <v>434</v>
      </c>
      <c r="C1068" s="94" t="s">
        <v>435</v>
      </c>
      <c r="D1068" s="95">
        <v>3215062</v>
      </c>
      <c r="E1068" s="95">
        <v>2</v>
      </c>
      <c r="F1068" s="95"/>
      <c r="G1068" s="95">
        <v>112000</v>
      </c>
      <c r="H1068" s="95">
        <v>11.2</v>
      </c>
      <c r="I1068" s="95"/>
      <c r="J1068" s="95" t="s">
        <v>462</v>
      </c>
      <c r="K1068" s="95" t="b">
        <v>1</v>
      </c>
      <c r="L1068" s="95">
        <v>7</v>
      </c>
      <c r="M1068" s="96">
        <v>2032</v>
      </c>
      <c r="N1068" s="97">
        <v>0</v>
      </c>
      <c r="O1068" s="98">
        <v>46020</v>
      </c>
      <c r="P1068" s="98">
        <v>46020</v>
      </c>
      <c r="Q1068" s="99">
        <v>0</v>
      </c>
    </row>
    <row r="1069" spans="1:17">
      <c r="A1069" s="7">
        <v>2025</v>
      </c>
      <c r="B1069" s="8" t="s">
        <v>434</v>
      </c>
      <c r="C1069" s="94" t="s">
        <v>435</v>
      </c>
      <c r="D1069" s="95">
        <v>3215062</v>
      </c>
      <c r="E1069" s="95">
        <v>2</v>
      </c>
      <c r="F1069" s="95"/>
      <c r="G1069" s="95">
        <v>112000</v>
      </c>
      <c r="H1069" s="95">
        <v>11.2</v>
      </c>
      <c r="I1069" s="95"/>
      <c r="J1069" s="95" t="s">
        <v>462</v>
      </c>
      <c r="K1069" s="95" t="b">
        <v>1</v>
      </c>
      <c r="L1069" s="95">
        <v>12</v>
      </c>
      <c r="M1069" s="96">
        <v>2037</v>
      </c>
      <c r="N1069" s="97">
        <v>0</v>
      </c>
      <c r="O1069" s="98">
        <v>46020</v>
      </c>
      <c r="P1069" s="98">
        <v>46020</v>
      </c>
      <c r="Q1069" s="99">
        <v>0</v>
      </c>
    </row>
    <row r="1070" spans="1:17">
      <c r="A1070" s="7">
        <v>2025</v>
      </c>
      <c r="B1070" s="8" t="s">
        <v>434</v>
      </c>
      <c r="C1070" s="94" t="s">
        <v>435</v>
      </c>
      <c r="D1070" s="95">
        <v>3215062</v>
      </c>
      <c r="E1070" s="95">
        <v>2</v>
      </c>
      <c r="F1070" s="95"/>
      <c r="G1070" s="95">
        <v>112000</v>
      </c>
      <c r="H1070" s="95">
        <v>11.2</v>
      </c>
      <c r="I1070" s="95"/>
      <c r="J1070" s="95" t="s">
        <v>462</v>
      </c>
      <c r="K1070" s="95" t="b">
        <v>1</v>
      </c>
      <c r="L1070" s="95">
        <v>11</v>
      </c>
      <c r="M1070" s="96">
        <v>2036</v>
      </c>
      <c r="N1070" s="97">
        <v>0</v>
      </c>
      <c r="O1070" s="98">
        <v>46020</v>
      </c>
      <c r="P1070" s="98">
        <v>46020</v>
      </c>
      <c r="Q1070" s="99">
        <v>0</v>
      </c>
    </row>
    <row r="1071" spans="1:17">
      <c r="A1071" s="7">
        <v>2025</v>
      </c>
      <c r="B1071" s="8" t="s">
        <v>434</v>
      </c>
      <c r="C1071" s="94" t="s">
        <v>435</v>
      </c>
      <c r="D1071" s="95">
        <v>3215062</v>
      </c>
      <c r="E1071" s="95">
        <v>2</v>
      </c>
      <c r="F1071" s="95"/>
      <c r="G1071" s="95">
        <v>30000</v>
      </c>
      <c r="H1071" s="95">
        <v>3</v>
      </c>
      <c r="I1071" s="95" t="s">
        <v>463</v>
      </c>
      <c r="J1071" s="95" t="s">
        <v>18</v>
      </c>
      <c r="K1071" s="95" t="b">
        <v>0</v>
      </c>
      <c r="L1071" s="95">
        <v>6</v>
      </c>
      <c r="M1071" s="96">
        <v>2031</v>
      </c>
      <c r="N1071" s="97">
        <v>191817.60000000001</v>
      </c>
      <c r="O1071" s="98">
        <v>46020</v>
      </c>
      <c r="P1071" s="98">
        <v>46020</v>
      </c>
      <c r="Q1071" s="99">
        <v>0</v>
      </c>
    </row>
    <row r="1072" spans="1:17">
      <c r="A1072" s="7">
        <v>2025</v>
      </c>
      <c r="B1072" s="8" t="s">
        <v>434</v>
      </c>
      <c r="C1072" s="94" t="s">
        <v>435</v>
      </c>
      <c r="D1072" s="95">
        <v>3215062</v>
      </c>
      <c r="E1072" s="95">
        <v>2</v>
      </c>
      <c r="F1072" s="95"/>
      <c r="G1072" s="95">
        <v>30000</v>
      </c>
      <c r="H1072" s="95">
        <v>3</v>
      </c>
      <c r="I1072" s="95" t="s">
        <v>463</v>
      </c>
      <c r="J1072" s="95" t="s">
        <v>18</v>
      </c>
      <c r="K1072" s="95" t="b">
        <v>0</v>
      </c>
      <c r="L1072" s="95">
        <v>5</v>
      </c>
      <c r="M1072" s="96">
        <v>2030</v>
      </c>
      <c r="N1072" s="97">
        <v>191817.60000000001</v>
      </c>
      <c r="O1072" s="98">
        <v>46020</v>
      </c>
      <c r="P1072" s="98">
        <v>46020</v>
      </c>
      <c r="Q1072" s="99">
        <v>0</v>
      </c>
    </row>
    <row r="1073" spans="1:17">
      <c r="A1073" s="7">
        <v>2025</v>
      </c>
      <c r="B1073" s="8" t="s">
        <v>434</v>
      </c>
      <c r="C1073" s="94" t="s">
        <v>435</v>
      </c>
      <c r="D1073" s="95">
        <v>3215062</v>
      </c>
      <c r="E1073" s="95">
        <v>2</v>
      </c>
      <c r="F1073" s="95"/>
      <c r="G1073" s="95">
        <v>30000</v>
      </c>
      <c r="H1073" s="95">
        <v>3</v>
      </c>
      <c r="I1073" s="95" t="s">
        <v>463</v>
      </c>
      <c r="J1073" s="95" t="s">
        <v>18</v>
      </c>
      <c r="K1073" s="95" t="b">
        <v>0</v>
      </c>
      <c r="L1073" s="95">
        <v>8</v>
      </c>
      <c r="M1073" s="96">
        <v>2033</v>
      </c>
      <c r="N1073" s="97">
        <v>191817.60000000001</v>
      </c>
      <c r="O1073" s="98">
        <v>46020</v>
      </c>
      <c r="P1073" s="98">
        <v>46020</v>
      </c>
      <c r="Q1073" s="99">
        <v>0</v>
      </c>
    </row>
    <row r="1074" spans="1:17">
      <c r="A1074" s="7">
        <v>2025</v>
      </c>
      <c r="B1074" s="8" t="s">
        <v>434</v>
      </c>
      <c r="C1074" s="94" t="s">
        <v>435</v>
      </c>
      <c r="D1074" s="95">
        <v>3215062</v>
      </c>
      <c r="E1074" s="95">
        <v>2</v>
      </c>
      <c r="F1074" s="95"/>
      <c r="G1074" s="95">
        <v>30000</v>
      </c>
      <c r="H1074" s="95">
        <v>3</v>
      </c>
      <c r="I1074" s="95" t="s">
        <v>463</v>
      </c>
      <c r="J1074" s="95" t="s">
        <v>18</v>
      </c>
      <c r="K1074" s="95" t="b">
        <v>0</v>
      </c>
      <c r="L1074" s="95">
        <v>12</v>
      </c>
      <c r="M1074" s="96">
        <v>2037</v>
      </c>
      <c r="N1074" s="97">
        <v>74266</v>
      </c>
      <c r="O1074" s="98">
        <v>46020</v>
      </c>
      <c r="P1074" s="98">
        <v>46020</v>
      </c>
      <c r="Q1074" s="99">
        <v>0</v>
      </c>
    </row>
    <row r="1075" spans="1:17">
      <c r="A1075" s="7">
        <v>2025</v>
      </c>
      <c r="B1075" s="8" t="s">
        <v>434</v>
      </c>
      <c r="C1075" s="94" t="s">
        <v>435</v>
      </c>
      <c r="D1075" s="95">
        <v>3215062</v>
      </c>
      <c r="E1075" s="95">
        <v>2</v>
      </c>
      <c r="F1075" s="95"/>
      <c r="G1075" s="95">
        <v>30000</v>
      </c>
      <c r="H1075" s="95">
        <v>3</v>
      </c>
      <c r="I1075" s="95" t="s">
        <v>463</v>
      </c>
      <c r="J1075" s="95" t="s">
        <v>18</v>
      </c>
      <c r="K1075" s="95" t="b">
        <v>0</v>
      </c>
      <c r="L1075" s="95">
        <v>4</v>
      </c>
      <c r="M1075" s="96">
        <v>2029</v>
      </c>
      <c r="N1075" s="97">
        <v>541436.11</v>
      </c>
      <c r="O1075" s="98">
        <v>46020</v>
      </c>
      <c r="P1075" s="98">
        <v>46020</v>
      </c>
      <c r="Q1075" s="99">
        <v>0</v>
      </c>
    </row>
    <row r="1076" spans="1:17">
      <c r="A1076" s="7">
        <v>2025</v>
      </c>
      <c r="B1076" s="8" t="s">
        <v>434</v>
      </c>
      <c r="C1076" s="94" t="s">
        <v>435</v>
      </c>
      <c r="D1076" s="95">
        <v>3215062</v>
      </c>
      <c r="E1076" s="95">
        <v>2</v>
      </c>
      <c r="F1076" s="95"/>
      <c r="G1076" s="95">
        <v>30000</v>
      </c>
      <c r="H1076" s="95">
        <v>3</v>
      </c>
      <c r="I1076" s="95" t="s">
        <v>463</v>
      </c>
      <c r="J1076" s="95" t="s">
        <v>18</v>
      </c>
      <c r="K1076" s="95" t="b">
        <v>0</v>
      </c>
      <c r="L1076" s="95">
        <v>0</v>
      </c>
      <c r="M1076" s="96">
        <v>2025</v>
      </c>
      <c r="N1076" s="97">
        <v>-8786533.1799999997</v>
      </c>
      <c r="O1076" s="98">
        <v>46020</v>
      </c>
      <c r="P1076" s="98">
        <v>46020</v>
      </c>
      <c r="Q1076" s="99">
        <v>0</v>
      </c>
    </row>
    <row r="1077" spans="1:17">
      <c r="A1077" s="7">
        <v>2025</v>
      </c>
      <c r="B1077" s="8" t="s">
        <v>434</v>
      </c>
      <c r="C1077" s="94" t="s">
        <v>435</v>
      </c>
      <c r="D1077" s="95">
        <v>3215062</v>
      </c>
      <c r="E1077" s="95">
        <v>2</v>
      </c>
      <c r="F1077" s="95"/>
      <c r="G1077" s="95">
        <v>30000</v>
      </c>
      <c r="H1077" s="95">
        <v>3</v>
      </c>
      <c r="I1077" s="95" t="s">
        <v>463</v>
      </c>
      <c r="J1077" s="95" t="s">
        <v>18</v>
      </c>
      <c r="K1077" s="95" t="b">
        <v>0</v>
      </c>
      <c r="L1077" s="95">
        <v>2</v>
      </c>
      <c r="M1077" s="96">
        <v>2027</v>
      </c>
      <c r="N1077" s="97">
        <v>803540.94</v>
      </c>
      <c r="O1077" s="98">
        <v>46020</v>
      </c>
      <c r="P1077" s="98">
        <v>46020</v>
      </c>
      <c r="Q1077" s="99">
        <v>0</v>
      </c>
    </row>
    <row r="1078" spans="1:17">
      <c r="A1078" s="7">
        <v>2025</v>
      </c>
      <c r="B1078" s="8" t="s">
        <v>434</v>
      </c>
      <c r="C1078" s="94" t="s">
        <v>435</v>
      </c>
      <c r="D1078" s="95">
        <v>3215062</v>
      </c>
      <c r="E1078" s="95">
        <v>2</v>
      </c>
      <c r="F1078" s="95"/>
      <c r="G1078" s="95">
        <v>30000</v>
      </c>
      <c r="H1078" s="95">
        <v>3</v>
      </c>
      <c r="I1078" s="95" t="s">
        <v>463</v>
      </c>
      <c r="J1078" s="95" t="s">
        <v>18</v>
      </c>
      <c r="K1078" s="95" t="b">
        <v>0</v>
      </c>
      <c r="L1078" s="95">
        <v>3</v>
      </c>
      <c r="M1078" s="96">
        <v>2028</v>
      </c>
      <c r="N1078" s="97">
        <v>632593.19999999995</v>
      </c>
      <c r="O1078" s="98">
        <v>46020</v>
      </c>
      <c r="P1078" s="98">
        <v>46020</v>
      </c>
      <c r="Q1078" s="99">
        <v>0</v>
      </c>
    </row>
    <row r="1079" spans="1:17">
      <c r="A1079" s="7">
        <v>2025</v>
      </c>
      <c r="B1079" s="8" t="s">
        <v>434</v>
      </c>
      <c r="C1079" s="94" t="s">
        <v>435</v>
      </c>
      <c r="D1079" s="95">
        <v>3215062</v>
      </c>
      <c r="E1079" s="95">
        <v>2</v>
      </c>
      <c r="F1079" s="95"/>
      <c r="G1079" s="95">
        <v>30000</v>
      </c>
      <c r="H1079" s="95">
        <v>3</v>
      </c>
      <c r="I1079" s="95" t="s">
        <v>463</v>
      </c>
      <c r="J1079" s="95" t="s">
        <v>18</v>
      </c>
      <c r="K1079" s="95" t="b">
        <v>0</v>
      </c>
      <c r="L1079" s="95">
        <v>11</v>
      </c>
      <c r="M1079" s="96">
        <v>2036</v>
      </c>
      <c r="N1079" s="97">
        <v>74266</v>
      </c>
      <c r="O1079" s="98">
        <v>46020</v>
      </c>
      <c r="P1079" s="98">
        <v>46020</v>
      </c>
      <c r="Q1079" s="99">
        <v>0</v>
      </c>
    </row>
    <row r="1080" spans="1:17">
      <c r="A1080" s="7">
        <v>2025</v>
      </c>
      <c r="B1080" s="8" t="s">
        <v>434</v>
      </c>
      <c r="C1080" s="94" t="s">
        <v>435</v>
      </c>
      <c r="D1080" s="95">
        <v>3215062</v>
      </c>
      <c r="E1080" s="95">
        <v>2</v>
      </c>
      <c r="F1080" s="95"/>
      <c r="G1080" s="95">
        <v>30000</v>
      </c>
      <c r="H1080" s="95">
        <v>3</v>
      </c>
      <c r="I1080" s="95" t="s">
        <v>463</v>
      </c>
      <c r="J1080" s="95" t="s">
        <v>18</v>
      </c>
      <c r="K1080" s="95" t="b">
        <v>0</v>
      </c>
      <c r="L1080" s="95">
        <v>10</v>
      </c>
      <c r="M1080" s="96">
        <v>2035</v>
      </c>
      <c r="N1080" s="97">
        <v>191817.60000000001</v>
      </c>
      <c r="O1080" s="98">
        <v>46020</v>
      </c>
      <c r="P1080" s="98">
        <v>46020</v>
      </c>
      <c r="Q1080" s="99">
        <v>0</v>
      </c>
    </row>
    <row r="1081" spans="1:17">
      <c r="A1081" s="7">
        <v>2025</v>
      </c>
      <c r="B1081" s="8" t="s">
        <v>434</v>
      </c>
      <c r="C1081" s="94" t="s">
        <v>435</v>
      </c>
      <c r="D1081" s="95">
        <v>3215062</v>
      </c>
      <c r="E1081" s="95">
        <v>2</v>
      </c>
      <c r="F1081" s="95"/>
      <c r="G1081" s="95">
        <v>30000</v>
      </c>
      <c r="H1081" s="95">
        <v>3</v>
      </c>
      <c r="I1081" s="95" t="s">
        <v>463</v>
      </c>
      <c r="J1081" s="95" t="s">
        <v>18</v>
      </c>
      <c r="K1081" s="95" t="b">
        <v>0</v>
      </c>
      <c r="L1081" s="95">
        <v>9</v>
      </c>
      <c r="M1081" s="96">
        <v>2034</v>
      </c>
      <c r="N1081" s="97">
        <v>191817.60000000001</v>
      </c>
      <c r="O1081" s="98">
        <v>46020</v>
      </c>
      <c r="P1081" s="98">
        <v>46020</v>
      </c>
      <c r="Q1081" s="99">
        <v>0</v>
      </c>
    </row>
    <row r="1082" spans="1:17">
      <c r="A1082" s="7">
        <v>2025</v>
      </c>
      <c r="B1082" s="8" t="s">
        <v>434</v>
      </c>
      <c r="C1082" s="94" t="s">
        <v>435</v>
      </c>
      <c r="D1082" s="95">
        <v>3215062</v>
      </c>
      <c r="E1082" s="95">
        <v>2</v>
      </c>
      <c r="F1082" s="95"/>
      <c r="G1082" s="95">
        <v>30000</v>
      </c>
      <c r="H1082" s="95">
        <v>3</v>
      </c>
      <c r="I1082" s="95" t="s">
        <v>463</v>
      </c>
      <c r="J1082" s="95" t="s">
        <v>18</v>
      </c>
      <c r="K1082" s="95" t="b">
        <v>0</v>
      </c>
      <c r="L1082" s="95">
        <v>13</v>
      </c>
      <c r="M1082" s="96">
        <v>2038</v>
      </c>
      <c r="N1082" s="97">
        <v>74266</v>
      </c>
      <c r="O1082" s="98">
        <v>46020</v>
      </c>
      <c r="P1082" s="98">
        <v>46020</v>
      </c>
      <c r="Q1082" s="99">
        <v>0</v>
      </c>
    </row>
    <row r="1083" spans="1:17">
      <c r="A1083" s="7">
        <v>2025</v>
      </c>
      <c r="B1083" s="8" t="s">
        <v>434</v>
      </c>
      <c r="C1083" s="94" t="s">
        <v>435</v>
      </c>
      <c r="D1083" s="95">
        <v>3215062</v>
      </c>
      <c r="E1083" s="95">
        <v>2</v>
      </c>
      <c r="F1083" s="95"/>
      <c r="G1083" s="95">
        <v>30000</v>
      </c>
      <c r="H1083" s="95">
        <v>3</v>
      </c>
      <c r="I1083" s="95" t="s">
        <v>463</v>
      </c>
      <c r="J1083" s="95" t="s">
        <v>18</v>
      </c>
      <c r="K1083" s="95" t="b">
        <v>0</v>
      </c>
      <c r="L1083" s="95">
        <v>1</v>
      </c>
      <c r="M1083" s="96">
        <v>2026</v>
      </c>
      <c r="N1083" s="97">
        <v>803535.6</v>
      </c>
      <c r="O1083" s="98">
        <v>46020</v>
      </c>
      <c r="P1083" s="98">
        <v>46020</v>
      </c>
      <c r="Q1083" s="99">
        <v>0</v>
      </c>
    </row>
    <row r="1084" spans="1:17">
      <c r="A1084" s="7">
        <v>2025</v>
      </c>
      <c r="B1084" s="8" t="s">
        <v>434</v>
      </c>
      <c r="C1084" s="94" t="s">
        <v>435</v>
      </c>
      <c r="D1084" s="95">
        <v>3215062</v>
      </c>
      <c r="E1084" s="95">
        <v>2</v>
      </c>
      <c r="F1084" s="95"/>
      <c r="G1084" s="95">
        <v>30000</v>
      </c>
      <c r="H1084" s="95">
        <v>3</v>
      </c>
      <c r="I1084" s="95" t="s">
        <v>463</v>
      </c>
      <c r="J1084" s="95" t="s">
        <v>18</v>
      </c>
      <c r="K1084" s="95" t="b">
        <v>0</v>
      </c>
      <c r="L1084" s="95">
        <v>7</v>
      </c>
      <c r="M1084" s="96">
        <v>2032</v>
      </c>
      <c r="N1084" s="97">
        <v>191817.60000000001</v>
      </c>
      <c r="O1084" s="98">
        <v>46020</v>
      </c>
      <c r="P1084" s="98">
        <v>46020</v>
      </c>
      <c r="Q1084" s="99">
        <v>0</v>
      </c>
    </row>
    <row r="1085" spans="1:17">
      <c r="A1085" s="7">
        <v>2025</v>
      </c>
      <c r="B1085" s="8" t="s">
        <v>434</v>
      </c>
      <c r="C1085" s="94" t="s">
        <v>435</v>
      </c>
      <c r="D1085" s="95">
        <v>3215062</v>
      </c>
      <c r="E1085" s="95">
        <v>2</v>
      </c>
      <c r="F1085" s="95"/>
      <c r="G1085" s="95">
        <v>21300</v>
      </c>
      <c r="H1085" s="95" t="s">
        <v>36</v>
      </c>
      <c r="I1085" s="95"/>
      <c r="J1085" s="95" t="s">
        <v>125</v>
      </c>
      <c r="K1085" s="95" t="b">
        <v>0</v>
      </c>
      <c r="L1085" s="95">
        <v>11</v>
      </c>
      <c r="M1085" s="96">
        <v>2036</v>
      </c>
      <c r="N1085" s="97">
        <v>10000</v>
      </c>
      <c r="O1085" s="98">
        <v>46020</v>
      </c>
      <c r="P1085" s="98">
        <v>46020</v>
      </c>
      <c r="Q1085" s="99">
        <v>0</v>
      </c>
    </row>
    <row r="1086" spans="1:17">
      <c r="A1086" s="7">
        <v>2025</v>
      </c>
      <c r="B1086" s="8" t="s">
        <v>434</v>
      </c>
      <c r="C1086" s="94" t="s">
        <v>435</v>
      </c>
      <c r="D1086" s="95">
        <v>3215062</v>
      </c>
      <c r="E1086" s="95">
        <v>2</v>
      </c>
      <c r="F1086" s="95"/>
      <c r="G1086" s="95">
        <v>21300</v>
      </c>
      <c r="H1086" s="95" t="s">
        <v>36</v>
      </c>
      <c r="I1086" s="95"/>
      <c r="J1086" s="95" t="s">
        <v>125</v>
      </c>
      <c r="K1086" s="95" t="b">
        <v>0</v>
      </c>
      <c r="L1086" s="95">
        <v>4</v>
      </c>
      <c r="M1086" s="96">
        <v>2029</v>
      </c>
      <c r="N1086" s="97">
        <v>120000</v>
      </c>
      <c r="O1086" s="98">
        <v>46020</v>
      </c>
      <c r="P1086" s="98">
        <v>46020</v>
      </c>
      <c r="Q1086" s="99">
        <v>0</v>
      </c>
    </row>
    <row r="1087" spans="1:17">
      <c r="A1087" s="7">
        <v>2025</v>
      </c>
      <c r="B1087" s="8" t="s">
        <v>434</v>
      </c>
      <c r="C1087" s="94" t="s">
        <v>435</v>
      </c>
      <c r="D1087" s="95">
        <v>3215062</v>
      </c>
      <c r="E1087" s="95">
        <v>2</v>
      </c>
      <c r="F1087" s="95"/>
      <c r="G1087" s="95">
        <v>21300</v>
      </c>
      <c r="H1087" s="95" t="s">
        <v>36</v>
      </c>
      <c r="I1087" s="95"/>
      <c r="J1087" s="95" t="s">
        <v>125</v>
      </c>
      <c r="K1087" s="95" t="b">
        <v>0</v>
      </c>
      <c r="L1087" s="95">
        <v>9</v>
      </c>
      <c r="M1087" s="96">
        <v>2034</v>
      </c>
      <c r="N1087" s="97">
        <v>30000</v>
      </c>
      <c r="O1087" s="98">
        <v>46020</v>
      </c>
      <c r="P1087" s="98">
        <v>46020</v>
      </c>
      <c r="Q1087" s="99">
        <v>0</v>
      </c>
    </row>
    <row r="1088" spans="1:17">
      <c r="A1088" s="7">
        <v>2025</v>
      </c>
      <c r="B1088" s="8" t="s">
        <v>434</v>
      </c>
      <c r="C1088" s="94" t="s">
        <v>435</v>
      </c>
      <c r="D1088" s="95">
        <v>3215062</v>
      </c>
      <c r="E1088" s="95">
        <v>2</v>
      </c>
      <c r="F1088" s="95"/>
      <c r="G1088" s="95">
        <v>21300</v>
      </c>
      <c r="H1088" s="95" t="s">
        <v>36</v>
      </c>
      <c r="I1088" s="95"/>
      <c r="J1088" s="95" t="s">
        <v>125</v>
      </c>
      <c r="K1088" s="95" t="b">
        <v>0</v>
      </c>
      <c r="L1088" s="95">
        <v>5</v>
      </c>
      <c r="M1088" s="96">
        <v>2030</v>
      </c>
      <c r="N1088" s="97">
        <v>100000</v>
      </c>
      <c r="O1088" s="98">
        <v>46020</v>
      </c>
      <c r="P1088" s="98">
        <v>46020</v>
      </c>
      <c r="Q1088" s="99">
        <v>0</v>
      </c>
    </row>
    <row r="1089" spans="1:17">
      <c r="A1089" s="7">
        <v>2025</v>
      </c>
      <c r="B1089" s="8" t="s">
        <v>434</v>
      </c>
      <c r="C1089" s="94" t="s">
        <v>435</v>
      </c>
      <c r="D1089" s="95">
        <v>3215062</v>
      </c>
      <c r="E1089" s="95">
        <v>2</v>
      </c>
      <c r="F1089" s="95"/>
      <c r="G1089" s="95">
        <v>21300</v>
      </c>
      <c r="H1089" s="95" t="s">
        <v>36</v>
      </c>
      <c r="I1089" s="95"/>
      <c r="J1089" s="95" t="s">
        <v>125</v>
      </c>
      <c r="K1089" s="95" t="b">
        <v>0</v>
      </c>
      <c r="L1089" s="95">
        <v>2</v>
      </c>
      <c r="M1089" s="96">
        <v>2027</v>
      </c>
      <c r="N1089" s="97">
        <v>200000</v>
      </c>
      <c r="O1089" s="98">
        <v>46020</v>
      </c>
      <c r="P1089" s="98">
        <v>46020</v>
      </c>
      <c r="Q1089" s="99">
        <v>0</v>
      </c>
    </row>
    <row r="1090" spans="1:17">
      <c r="A1090" s="7">
        <v>2025</v>
      </c>
      <c r="B1090" s="8" t="s">
        <v>434</v>
      </c>
      <c r="C1090" s="94" t="s">
        <v>435</v>
      </c>
      <c r="D1090" s="95">
        <v>3215062</v>
      </c>
      <c r="E1090" s="95">
        <v>2</v>
      </c>
      <c r="F1090" s="95"/>
      <c r="G1090" s="95">
        <v>21300</v>
      </c>
      <c r="H1090" s="95" t="s">
        <v>36</v>
      </c>
      <c r="I1090" s="95"/>
      <c r="J1090" s="95" t="s">
        <v>125</v>
      </c>
      <c r="K1090" s="95" t="b">
        <v>0</v>
      </c>
      <c r="L1090" s="95">
        <v>12</v>
      </c>
      <c r="M1090" s="96">
        <v>2037</v>
      </c>
      <c r="N1090" s="97">
        <v>10000</v>
      </c>
      <c r="O1090" s="98">
        <v>46020</v>
      </c>
      <c r="P1090" s="98">
        <v>46020</v>
      </c>
      <c r="Q1090" s="99">
        <v>0</v>
      </c>
    </row>
    <row r="1091" spans="1:17">
      <c r="A1091" s="7">
        <v>2025</v>
      </c>
      <c r="B1091" s="8" t="s">
        <v>434</v>
      </c>
      <c r="C1091" s="94" t="s">
        <v>435</v>
      </c>
      <c r="D1091" s="95">
        <v>3215062</v>
      </c>
      <c r="E1091" s="95">
        <v>2</v>
      </c>
      <c r="F1091" s="95"/>
      <c r="G1091" s="95">
        <v>21300</v>
      </c>
      <c r="H1091" s="95" t="s">
        <v>36</v>
      </c>
      <c r="I1091" s="95"/>
      <c r="J1091" s="95" t="s">
        <v>125</v>
      </c>
      <c r="K1091" s="95" t="b">
        <v>0</v>
      </c>
      <c r="L1091" s="95">
        <v>13</v>
      </c>
      <c r="M1091" s="96">
        <v>2038</v>
      </c>
      <c r="N1091" s="97">
        <v>5000</v>
      </c>
      <c r="O1091" s="98">
        <v>46020</v>
      </c>
      <c r="P1091" s="98">
        <v>46020</v>
      </c>
      <c r="Q1091" s="99">
        <v>0</v>
      </c>
    </row>
    <row r="1092" spans="1:17">
      <c r="A1092" s="7">
        <v>2025</v>
      </c>
      <c r="B1092" s="8" t="s">
        <v>434</v>
      </c>
      <c r="C1092" s="94" t="s">
        <v>435</v>
      </c>
      <c r="D1092" s="95">
        <v>3215062</v>
      </c>
      <c r="E1092" s="95">
        <v>2</v>
      </c>
      <c r="F1092" s="95"/>
      <c r="G1092" s="95">
        <v>21300</v>
      </c>
      <c r="H1092" s="95" t="s">
        <v>36</v>
      </c>
      <c r="I1092" s="95"/>
      <c r="J1092" s="95" t="s">
        <v>125</v>
      </c>
      <c r="K1092" s="95" t="b">
        <v>0</v>
      </c>
      <c r="L1092" s="95">
        <v>7</v>
      </c>
      <c r="M1092" s="96">
        <v>2032</v>
      </c>
      <c r="N1092" s="97">
        <v>60000</v>
      </c>
      <c r="O1092" s="98">
        <v>46020</v>
      </c>
      <c r="P1092" s="98">
        <v>46020</v>
      </c>
      <c r="Q1092" s="99">
        <v>0</v>
      </c>
    </row>
    <row r="1093" spans="1:17">
      <c r="A1093" s="7">
        <v>2025</v>
      </c>
      <c r="B1093" s="8" t="s">
        <v>434</v>
      </c>
      <c r="C1093" s="94" t="s">
        <v>435</v>
      </c>
      <c r="D1093" s="95">
        <v>3215062</v>
      </c>
      <c r="E1093" s="95">
        <v>2</v>
      </c>
      <c r="F1093" s="95"/>
      <c r="G1093" s="95">
        <v>21300</v>
      </c>
      <c r="H1093" s="95" t="s">
        <v>36</v>
      </c>
      <c r="I1093" s="95"/>
      <c r="J1093" s="95" t="s">
        <v>125</v>
      </c>
      <c r="K1093" s="95" t="b">
        <v>0</v>
      </c>
      <c r="L1093" s="95">
        <v>6</v>
      </c>
      <c r="M1093" s="96">
        <v>2031</v>
      </c>
      <c r="N1093" s="97">
        <v>80000</v>
      </c>
      <c r="O1093" s="98">
        <v>46020</v>
      </c>
      <c r="P1093" s="98">
        <v>46020</v>
      </c>
      <c r="Q1093" s="99">
        <v>0</v>
      </c>
    </row>
    <row r="1094" spans="1:17">
      <c r="A1094" s="7">
        <v>2025</v>
      </c>
      <c r="B1094" s="8" t="s">
        <v>434</v>
      </c>
      <c r="C1094" s="94" t="s">
        <v>435</v>
      </c>
      <c r="D1094" s="95">
        <v>3215062</v>
      </c>
      <c r="E1094" s="95">
        <v>2</v>
      </c>
      <c r="F1094" s="95"/>
      <c r="G1094" s="95">
        <v>21300</v>
      </c>
      <c r="H1094" s="95" t="s">
        <v>36</v>
      </c>
      <c r="I1094" s="95"/>
      <c r="J1094" s="95" t="s">
        <v>125</v>
      </c>
      <c r="K1094" s="95" t="b">
        <v>0</v>
      </c>
      <c r="L1094" s="95">
        <v>1</v>
      </c>
      <c r="M1094" s="96">
        <v>2026</v>
      </c>
      <c r="N1094" s="97">
        <v>250000</v>
      </c>
      <c r="O1094" s="98">
        <v>46020</v>
      </c>
      <c r="P1094" s="98">
        <v>46020</v>
      </c>
      <c r="Q1094" s="99">
        <v>0</v>
      </c>
    </row>
    <row r="1095" spans="1:17">
      <c r="A1095" s="7">
        <v>2025</v>
      </c>
      <c r="B1095" s="8" t="s">
        <v>434</v>
      </c>
      <c r="C1095" s="94" t="s">
        <v>435</v>
      </c>
      <c r="D1095" s="95">
        <v>3215062</v>
      </c>
      <c r="E1095" s="95">
        <v>2</v>
      </c>
      <c r="F1095" s="95"/>
      <c r="G1095" s="95">
        <v>21300</v>
      </c>
      <c r="H1095" s="95" t="s">
        <v>36</v>
      </c>
      <c r="I1095" s="95"/>
      <c r="J1095" s="95" t="s">
        <v>125</v>
      </c>
      <c r="K1095" s="95" t="b">
        <v>0</v>
      </c>
      <c r="L1095" s="95">
        <v>0</v>
      </c>
      <c r="M1095" s="96">
        <v>2025</v>
      </c>
      <c r="N1095" s="97">
        <v>200000</v>
      </c>
      <c r="O1095" s="98">
        <v>46020</v>
      </c>
      <c r="P1095" s="98">
        <v>46020</v>
      </c>
      <c r="Q1095" s="99">
        <v>0</v>
      </c>
    </row>
    <row r="1096" spans="1:17">
      <c r="A1096" s="7">
        <v>2025</v>
      </c>
      <c r="B1096" s="8" t="s">
        <v>434</v>
      </c>
      <c r="C1096" s="94" t="s">
        <v>435</v>
      </c>
      <c r="D1096" s="95">
        <v>3215062</v>
      </c>
      <c r="E1096" s="95">
        <v>2</v>
      </c>
      <c r="F1096" s="95"/>
      <c r="G1096" s="95">
        <v>21300</v>
      </c>
      <c r="H1096" s="95" t="s">
        <v>36</v>
      </c>
      <c r="I1096" s="95"/>
      <c r="J1096" s="95" t="s">
        <v>125</v>
      </c>
      <c r="K1096" s="95" t="b">
        <v>0</v>
      </c>
      <c r="L1096" s="95">
        <v>10</v>
      </c>
      <c r="M1096" s="96">
        <v>2035</v>
      </c>
      <c r="N1096" s="97">
        <v>20000</v>
      </c>
      <c r="O1096" s="98">
        <v>46020</v>
      </c>
      <c r="P1096" s="98">
        <v>46020</v>
      </c>
      <c r="Q1096" s="99">
        <v>0</v>
      </c>
    </row>
    <row r="1097" spans="1:17">
      <c r="A1097" s="7">
        <v>2025</v>
      </c>
      <c r="B1097" s="8" t="s">
        <v>434</v>
      </c>
      <c r="C1097" s="94" t="s">
        <v>435</v>
      </c>
      <c r="D1097" s="95">
        <v>3215062</v>
      </c>
      <c r="E1097" s="95">
        <v>2</v>
      </c>
      <c r="F1097" s="95"/>
      <c r="G1097" s="95">
        <v>21300</v>
      </c>
      <c r="H1097" s="95" t="s">
        <v>36</v>
      </c>
      <c r="I1097" s="95"/>
      <c r="J1097" s="95" t="s">
        <v>125</v>
      </c>
      <c r="K1097" s="95" t="b">
        <v>0</v>
      </c>
      <c r="L1097" s="95">
        <v>8</v>
      </c>
      <c r="M1097" s="96">
        <v>2033</v>
      </c>
      <c r="N1097" s="97">
        <v>40000</v>
      </c>
      <c r="O1097" s="98">
        <v>46020</v>
      </c>
      <c r="P1097" s="98">
        <v>46020</v>
      </c>
      <c r="Q1097" s="99">
        <v>0</v>
      </c>
    </row>
    <row r="1098" spans="1:17">
      <c r="A1098" s="7">
        <v>2025</v>
      </c>
      <c r="B1098" s="8" t="s">
        <v>434</v>
      </c>
      <c r="C1098" s="94" t="s">
        <v>435</v>
      </c>
      <c r="D1098" s="95">
        <v>3215062</v>
      </c>
      <c r="E1098" s="95">
        <v>2</v>
      </c>
      <c r="F1098" s="95"/>
      <c r="G1098" s="95">
        <v>21300</v>
      </c>
      <c r="H1098" s="95" t="s">
        <v>36</v>
      </c>
      <c r="I1098" s="95"/>
      <c r="J1098" s="95" t="s">
        <v>125</v>
      </c>
      <c r="K1098" s="95" t="b">
        <v>0</v>
      </c>
      <c r="L1098" s="95">
        <v>3</v>
      </c>
      <c r="M1098" s="96">
        <v>2028</v>
      </c>
      <c r="N1098" s="97">
        <v>150000</v>
      </c>
      <c r="O1098" s="98">
        <v>46020</v>
      </c>
      <c r="P1098" s="98">
        <v>46020</v>
      </c>
      <c r="Q1098" s="99">
        <v>0</v>
      </c>
    </row>
    <row r="1099" spans="1:17">
      <c r="A1099" s="7">
        <v>2025</v>
      </c>
      <c r="B1099" s="8" t="s">
        <v>434</v>
      </c>
      <c r="C1099" s="94" t="s">
        <v>435</v>
      </c>
      <c r="D1099" s="95">
        <v>3215062</v>
      </c>
      <c r="E1099" s="95">
        <v>2</v>
      </c>
      <c r="F1099" s="95"/>
      <c r="G1099" s="95">
        <v>107300</v>
      </c>
      <c r="H1099" s="95" t="s">
        <v>225</v>
      </c>
      <c r="I1099" s="95"/>
      <c r="J1099" s="95" t="s">
        <v>186</v>
      </c>
      <c r="K1099" s="95" t="b">
        <v>1</v>
      </c>
      <c r="L1099" s="95">
        <v>10</v>
      </c>
      <c r="M1099" s="96">
        <v>2035</v>
      </c>
      <c r="N1099" s="97">
        <v>0</v>
      </c>
      <c r="O1099" s="98">
        <v>46020</v>
      </c>
      <c r="P1099" s="98">
        <v>46020</v>
      </c>
      <c r="Q1099" s="99">
        <v>0</v>
      </c>
    </row>
    <row r="1100" spans="1:17">
      <c r="A1100" s="7">
        <v>2025</v>
      </c>
      <c r="B1100" s="8" t="s">
        <v>434</v>
      </c>
      <c r="C1100" s="94" t="s">
        <v>435</v>
      </c>
      <c r="D1100" s="95">
        <v>3215062</v>
      </c>
      <c r="E1100" s="95">
        <v>2</v>
      </c>
      <c r="F1100" s="95"/>
      <c r="G1100" s="95">
        <v>107300</v>
      </c>
      <c r="H1100" s="95" t="s">
        <v>225</v>
      </c>
      <c r="I1100" s="95"/>
      <c r="J1100" s="95" t="s">
        <v>186</v>
      </c>
      <c r="K1100" s="95" t="b">
        <v>1</v>
      </c>
      <c r="L1100" s="95">
        <v>13</v>
      </c>
      <c r="M1100" s="96">
        <v>2038</v>
      </c>
      <c r="N1100" s="97">
        <v>0</v>
      </c>
      <c r="O1100" s="98">
        <v>46020</v>
      </c>
      <c r="P1100" s="98">
        <v>46020</v>
      </c>
      <c r="Q1100" s="99">
        <v>0</v>
      </c>
    </row>
    <row r="1101" spans="1:17">
      <c r="A1101" s="7">
        <v>2025</v>
      </c>
      <c r="B1101" s="8" t="s">
        <v>434</v>
      </c>
      <c r="C1101" s="94" t="s">
        <v>435</v>
      </c>
      <c r="D1101" s="95">
        <v>3215062</v>
      </c>
      <c r="E1101" s="95">
        <v>2</v>
      </c>
      <c r="F1101" s="95"/>
      <c r="G1101" s="95">
        <v>107300</v>
      </c>
      <c r="H1101" s="95" t="s">
        <v>225</v>
      </c>
      <c r="I1101" s="95"/>
      <c r="J1101" s="95" t="s">
        <v>186</v>
      </c>
      <c r="K1101" s="95" t="b">
        <v>1</v>
      </c>
      <c r="L1101" s="95">
        <v>8</v>
      </c>
      <c r="M1101" s="96">
        <v>2033</v>
      </c>
      <c r="N1101" s="97">
        <v>0</v>
      </c>
      <c r="O1101" s="98">
        <v>46020</v>
      </c>
      <c r="P1101" s="98">
        <v>46020</v>
      </c>
      <c r="Q1101" s="99">
        <v>0</v>
      </c>
    </row>
    <row r="1102" spans="1:17">
      <c r="A1102" s="7">
        <v>2025</v>
      </c>
      <c r="B1102" s="8" t="s">
        <v>434</v>
      </c>
      <c r="C1102" s="94" t="s">
        <v>435</v>
      </c>
      <c r="D1102" s="95">
        <v>3215062</v>
      </c>
      <c r="E1102" s="95">
        <v>2</v>
      </c>
      <c r="F1102" s="95"/>
      <c r="G1102" s="95">
        <v>107300</v>
      </c>
      <c r="H1102" s="95" t="s">
        <v>225</v>
      </c>
      <c r="I1102" s="95"/>
      <c r="J1102" s="95" t="s">
        <v>186</v>
      </c>
      <c r="K1102" s="95" t="b">
        <v>1</v>
      </c>
      <c r="L1102" s="95">
        <v>3</v>
      </c>
      <c r="M1102" s="96">
        <v>2028</v>
      </c>
      <c r="N1102" s="97">
        <v>0</v>
      </c>
      <c r="O1102" s="98">
        <v>46020</v>
      </c>
      <c r="P1102" s="98">
        <v>46020</v>
      </c>
      <c r="Q1102" s="99">
        <v>0</v>
      </c>
    </row>
    <row r="1103" spans="1:17">
      <c r="A1103" s="7">
        <v>2025</v>
      </c>
      <c r="B1103" s="8" t="s">
        <v>434</v>
      </c>
      <c r="C1103" s="94" t="s">
        <v>435</v>
      </c>
      <c r="D1103" s="95">
        <v>3215062</v>
      </c>
      <c r="E1103" s="95">
        <v>2</v>
      </c>
      <c r="F1103" s="95"/>
      <c r="G1103" s="95">
        <v>107300</v>
      </c>
      <c r="H1103" s="95" t="s">
        <v>225</v>
      </c>
      <c r="I1103" s="95"/>
      <c r="J1103" s="95" t="s">
        <v>186</v>
      </c>
      <c r="K1103" s="95" t="b">
        <v>1</v>
      </c>
      <c r="L1103" s="95">
        <v>12</v>
      </c>
      <c r="M1103" s="96">
        <v>2037</v>
      </c>
      <c r="N1103" s="97">
        <v>0</v>
      </c>
      <c r="O1103" s="98">
        <v>46020</v>
      </c>
      <c r="P1103" s="98">
        <v>46020</v>
      </c>
      <c r="Q1103" s="99">
        <v>0</v>
      </c>
    </row>
    <row r="1104" spans="1:17">
      <c r="A1104" s="7">
        <v>2025</v>
      </c>
      <c r="B1104" s="8" t="s">
        <v>434</v>
      </c>
      <c r="C1104" s="94" t="s">
        <v>435</v>
      </c>
      <c r="D1104" s="95">
        <v>3215062</v>
      </c>
      <c r="E1104" s="95">
        <v>2</v>
      </c>
      <c r="F1104" s="95"/>
      <c r="G1104" s="95">
        <v>107300</v>
      </c>
      <c r="H1104" s="95" t="s">
        <v>225</v>
      </c>
      <c r="I1104" s="95"/>
      <c r="J1104" s="95" t="s">
        <v>186</v>
      </c>
      <c r="K1104" s="95" t="b">
        <v>1</v>
      </c>
      <c r="L1104" s="95">
        <v>1</v>
      </c>
      <c r="M1104" s="96">
        <v>2026</v>
      </c>
      <c r="N1104" s="97">
        <v>0</v>
      </c>
      <c r="O1104" s="98">
        <v>46020</v>
      </c>
      <c r="P1104" s="98">
        <v>46020</v>
      </c>
      <c r="Q1104" s="99">
        <v>0</v>
      </c>
    </row>
    <row r="1105" spans="1:17">
      <c r="A1105" s="7">
        <v>2025</v>
      </c>
      <c r="B1105" s="8" t="s">
        <v>434</v>
      </c>
      <c r="C1105" s="94" t="s">
        <v>435</v>
      </c>
      <c r="D1105" s="95">
        <v>3215062</v>
      </c>
      <c r="E1105" s="95">
        <v>2</v>
      </c>
      <c r="F1105" s="95"/>
      <c r="G1105" s="95">
        <v>107300</v>
      </c>
      <c r="H1105" s="95" t="s">
        <v>225</v>
      </c>
      <c r="I1105" s="95"/>
      <c r="J1105" s="95" t="s">
        <v>186</v>
      </c>
      <c r="K1105" s="95" t="b">
        <v>1</v>
      </c>
      <c r="L1105" s="95">
        <v>0</v>
      </c>
      <c r="M1105" s="96">
        <v>2025</v>
      </c>
      <c r="N1105" s="97">
        <v>0</v>
      </c>
      <c r="O1105" s="98">
        <v>46020</v>
      </c>
      <c r="P1105" s="98">
        <v>46020</v>
      </c>
      <c r="Q1105" s="99">
        <v>0</v>
      </c>
    </row>
    <row r="1106" spans="1:17">
      <c r="A1106" s="7">
        <v>2025</v>
      </c>
      <c r="B1106" s="8" t="s">
        <v>434</v>
      </c>
      <c r="C1106" s="94" t="s">
        <v>435</v>
      </c>
      <c r="D1106" s="95">
        <v>3215062</v>
      </c>
      <c r="E1106" s="95">
        <v>2</v>
      </c>
      <c r="F1106" s="95"/>
      <c r="G1106" s="95">
        <v>107300</v>
      </c>
      <c r="H1106" s="95" t="s">
        <v>225</v>
      </c>
      <c r="I1106" s="95"/>
      <c r="J1106" s="95" t="s">
        <v>186</v>
      </c>
      <c r="K1106" s="95" t="b">
        <v>1</v>
      </c>
      <c r="L1106" s="95">
        <v>7</v>
      </c>
      <c r="M1106" s="96">
        <v>2032</v>
      </c>
      <c r="N1106" s="97">
        <v>0</v>
      </c>
      <c r="O1106" s="98">
        <v>46020</v>
      </c>
      <c r="P1106" s="98">
        <v>46020</v>
      </c>
      <c r="Q1106" s="99">
        <v>0</v>
      </c>
    </row>
    <row r="1107" spans="1:17">
      <c r="A1107" s="7">
        <v>2025</v>
      </c>
      <c r="B1107" s="8" t="s">
        <v>434</v>
      </c>
      <c r="C1107" s="94" t="s">
        <v>435</v>
      </c>
      <c r="D1107" s="95">
        <v>3215062</v>
      </c>
      <c r="E1107" s="95">
        <v>2</v>
      </c>
      <c r="F1107" s="95"/>
      <c r="G1107" s="95">
        <v>107300</v>
      </c>
      <c r="H1107" s="95" t="s">
        <v>225</v>
      </c>
      <c r="I1107" s="95"/>
      <c r="J1107" s="95" t="s">
        <v>186</v>
      </c>
      <c r="K1107" s="95" t="b">
        <v>1</v>
      </c>
      <c r="L1107" s="95">
        <v>5</v>
      </c>
      <c r="M1107" s="96">
        <v>2030</v>
      </c>
      <c r="N1107" s="97">
        <v>0</v>
      </c>
      <c r="O1107" s="98">
        <v>46020</v>
      </c>
      <c r="P1107" s="98">
        <v>46020</v>
      </c>
      <c r="Q1107" s="99">
        <v>0</v>
      </c>
    </row>
    <row r="1108" spans="1:17">
      <c r="A1108" s="7">
        <v>2025</v>
      </c>
      <c r="B1108" s="8" t="s">
        <v>434</v>
      </c>
      <c r="C1108" s="94" t="s">
        <v>435</v>
      </c>
      <c r="D1108" s="95">
        <v>3215062</v>
      </c>
      <c r="E1108" s="95">
        <v>2</v>
      </c>
      <c r="F1108" s="95"/>
      <c r="G1108" s="95">
        <v>107300</v>
      </c>
      <c r="H1108" s="95" t="s">
        <v>225</v>
      </c>
      <c r="I1108" s="95"/>
      <c r="J1108" s="95" t="s">
        <v>186</v>
      </c>
      <c r="K1108" s="95" t="b">
        <v>1</v>
      </c>
      <c r="L1108" s="95">
        <v>6</v>
      </c>
      <c r="M1108" s="96">
        <v>2031</v>
      </c>
      <c r="N1108" s="97">
        <v>0</v>
      </c>
      <c r="O1108" s="98">
        <v>46020</v>
      </c>
      <c r="P1108" s="98">
        <v>46020</v>
      </c>
      <c r="Q1108" s="99">
        <v>0</v>
      </c>
    </row>
    <row r="1109" spans="1:17">
      <c r="A1109" s="7">
        <v>2025</v>
      </c>
      <c r="B1109" s="8" t="s">
        <v>434</v>
      </c>
      <c r="C1109" s="94" t="s">
        <v>435</v>
      </c>
      <c r="D1109" s="95">
        <v>3215062</v>
      </c>
      <c r="E1109" s="95">
        <v>2</v>
      </c>
      <c r="F1109" s="95"/>
      <c r="G1109" s="95">
        <v>107300</v>
      </c>
      <c r="H1109" s="95" t="s">
        <v>225</v>
      </c>
      <c r="I1109" s="95"/>
      <c r="J1109" s="95" t="s">
        <v>186</v>
      </c>
      <c r="K1109" s="95" t="b">
        <v>1</v>
      </c>
      <c r="L1109" s="95">
        <v>4</v>
      </c>
      <c r="M1109" s="96">
        <v>2029</v>
      </c>
      <c r="N1109" s="97">
        <v>0</v>
      </c>
      <c r="O1109" s="98">
        <v>46020</v>
      </c>
      <c r="P1109" s="98">
        <v>46020</v>
      </c>
      <c r="Q1109" s="99">
        <v>0</v>
      </c>
    </row>
    <row r="1110" spans="1:17">
      <c r="A1110" s="7">
        <v>2025</v>
      </c>
      <c r="B1110" s="8" t="s">
        <v>434</v>
      </c>
      <c r="C1110" s="94" t="s">
        <v>435</v>
      </c>
      <c r="D1110" s="95">
        <v>3215062</v>
      </c>
      <c r="E1110" s="95">
        <v>2</v>
      </c>
      <c r="F1110" s="95"/>
      <c r="G1110" s="95">
        <v>107300</v>
      </c>
      <c r="H1110" s="95" t="s">
        <v>225</v>
      </c>
      <c r="I1110" s="95"/>
      <c r="J1110" s="95" t="s">
        <v>186</v>
      </c>
      <c r="K1110" s="95" t="b">
        <v>1</v>
      </c>
      <c r="L1110" s="95">
        <v>9</v>
      </c>
      <c r="M1110" s="96">
        <v>2034</v>
      </c>
      <c r="N1110" s="97">
        <v>0</v>
      </c>
      <c r="O1110" s="98">
        <v>46020</v>
      </c>
      <c r="P1110" s="98">
        <v>46020</v>
      </c>
      <c r="Q1110" s="99">
        <v>0</v>
      </c>
    </row>
    <row r="1111" spans="1:17">
      <c r="A1111" s="7">
        <v>2025</v>
      </c>
      <c r="B1111" s="8" t="s">
        <v>434</v>
      </c>
      <c r="C1111" s="94" t="s">
        <v>435</v>
      </c>
      <c r="D1111" s="95">
        <v>3215062</v>
      </c>
      <c r="E1111" s="95">
        <v>2</v>
      </c>
      <c r="F1111" s="95"/>
      <c r="G1111" s="95">
        <v>107300</v>
      </c>
      <c r="H1111" s="95" t="s">
        <v>225</v>
      </c>
      <c r="I1111" s="95"/>
      <c r="J1111" s="95" t="s">
        <v>186</v>
      </c>
      <c r="K1111" s="95" t="b">
        <v>1</v>
      </c>
      <c r="L1111" s="95">
        <v>2</v>
      </c>
      <c r="M1111" s="96">
        <v>2027</v>
      </c>
      <c r="N1111" s="97">
        <v>0</v>
      </c>
      <c r="O1111" s="98">
        <v>46020</v>
      </c>
      <c r="P1111" s="98">
        <v>46020</v>
      </c>
      <c r="Q1111" s="99">
        <v>0</v>
      </c>
    </row>
    <row r="1112" spans="1:17">
      <c r="A1112" s="7">
        <v>2025</v>
      </c>
      <c r="B1112" s="8" t="s">
        <v>434</v>
      </c>
      <c r="C1112" s="94" t="s">
        <v>435</v>
      </c>
      <c r="D1112" s="95">
        <v>3215062</v>
      </c>
      <c r="E1112" s="95">
        <v>2</v>
      </c>
      <c r="F1112" s="95"/>
      <c r="G1112" s="95">
        <v>107300</v>
      </c>
      <c r="H1112" s="95" t="s">
        <v>225</v>
      </c>
      <c r="I1112" s="95"/>
      <c r="J1112" s="95" t="s">
        <v>186</v>
      </c>
      <c r="K1112" s="95" t="b">
        <v>1</v>
      </c>
      <c r="L1112" s="95">
        <v>11</v>
      </c>
      <c r="M1112" s="96">
        <v>2036</v>
      </c>
      <c r="N1112" s="97">
        <v>0</v>
      </c>
      <c r="O1112" s="98">
        <v>46020</v>
      </c>
      <c r="P1112" s="98">
        <v>46020</v>
      </c>
      <c r="Q1112" s="99">
        <v>0</v>
      </c>
    </row>
    <row r="1113" spans="1:17">
      <c r="A1113" s="7">
        <v>2025</v>
      </c>
      <c r="B1113" s="8" t="s">
        <v>434</v>
      </c>
      <c r="C1113" s="94" t="s">
        <v>435</v>
      </c>
      <c r="D1113" s="95">
        <v>3215062</v>
      </c>
      <c r="E1113" s="95">
        <v>2</v>
      </c>
      <c r="F1113" s="95"/>
      <c r="G1113" s="95">
        <v>51000</v>
      </c>
      <c r="H1113" s="95">
        <v>5.0999999999999996</v>
      </c>
      <c r="I1113" s="95"/>
      <c r="J1113" s="95" t="s">
        <v>139</v>
      </c>
      <c r="K1113" s="95" t="b">
        <v>1</v>
      </c>
      <c r="L1113" s="95">
        <v>6</v>
      </c>
      <c r="M1113" s="96">
        <v>2031</v>
      </c>
      <c r="N1113" s="97">
        <v>191817.60000000001</v>
      </c>
      <c r="O1113" s="98">
        <v>46020</v>
      </c>
      <c r="P1113" s="98">
        <v>46020</v>
      </c>
      <c r="Q1113" s="99">
        <v>0</v>
      </c>
    </row>
    <row r="1114" spans="1:17">
      <c r="A1114" s="7">
        <v>2025</v>
      </c>
      <c r="B1114" s="8" t="s">
        <v>434</v>
      </c>
      <c r="C1114" s="94" t="s">
        <v>435</v>
      </c>
      <c r="D1114" s="95">
        <v>3215062</v>
      </c>
      <c r="E1114" s="95">
        <v>2</v>
      </c>
      <c r="F1114" s="95"/>
      <c r="G1114" s="95">
        <v>51000</v>
      </c>
      <c r="H1114" s="95">
        <v>5.0999999999999996</v>
      </c>
      <c r="I1114" s="95"/>
      <c r="J1114" s="95" t="s">
        <v>139</v>
      </c>
      <c r="K1114" s="95" t="b">
        <v>1</v>
      </c>
      <c r="L1114" s="95">
        <v>2</v>
      </c>
      <c r="M1114" s="96">
        <v>2027</v>
      </c>
      <c r="N1114" s="97">
        <v>803540.94</v>
      </c>
      <c r="O1114" s="98">
        <v>46020</v>
      </c>
      <c r="P1114" s="98">
        <v>46020</v>
      </c>
      <c r="Q1114" s="99">
        <v>0</v>
      </c>
    </row>
    <row r="1115" spans="1:17">
      <c r="A1115" s="7">
        <v>2025</v>
      </c>
      <c r="B1115" s="8" t="s">
        <v>434</v>
      </c>
      <c r="C1115" s="94" t="s">
        <v>435</v>
      </c>
      <c r="D1115" s="95">
        <v>3215062</v>
      </c>
      <c r="E1115" s="95">
        <v>2</v>
      </c>
      <c r="F1115" s="95"/>
      <c r="G1115" s="95">
        <v>51000</v>
      </c>
      <c r="H1115" s="95">
        <v>5.0999999999999996</v>
      </c>
      <c r="I1115" s="95"/>
      <c r="J1115" s="95" t="s">
        <v>139</v>
      </c>
      <c r="K1115" s="95" t="b">
        <v>1</v>
      </c>
      <c r="L1115" s="95">
        <v>11</v>
      </c>
      <c r="M1115" s="96">
        <v>2036</v>
      </c>
      <c r="N1115" s="97">
        <v>74266</v>
      </c>
      <c r="O1115" s="98">
        <v>46020</v>
      </c>
      <c r="P1115" s="98">
        <v>46020</v>
      </c>
      <c r="Q1115" s="99">
        <v>0</v>
      </c>
    </row>
    <row r="1116" spans="1:17">
      <c r="A1116" s="7">
        <v>2025</v>
      </c>
      <c r="B1116" s="8" t="s">
        <v>434</v>
      </c>
      <c r="C1116" s="94" t="s">
        <v>435</v>
      </c>
      <c r="D1116" s="95">
        <v>3215062</v>
      </c>
      <c r="E1116" s="95">
        <v>2</v>
      </c>
      <c r="F1116" s="95"/>
      <c r="G1116" s="95">
        <v>51000</v>
      </c>
      <c r="H1116" s="95">
        <v>5.0999999999999996</v>
      </c>
      <c r="I1116" s="95"/>
      <c r="J1116" s="95" t="s">
        <v>139</v>
      </c>
      <c r="K1116" s="95" t="b">
        <v>1</v>
      </c>
      <c r="L1116" s="95">
        <v>9</v>
      </c>
      <c r="M1116" s="96">
        <v>2034</v>
      </c>
      <c r="N1116" s="97">
        <v>191817.60000000001</v>
      </c>
      <c r="O1116" s="98">
        <v>46020</v>
      </c>
      <c r="P1116" s="98">
        <v>46020</v>
      </c>
      <c r="Q1116" s="99">
        <v>0</v>
      </c>
    </row>
    <row r="1117" spans="1:17">
      <c r="A1117" s="7">
        <v>2025</v>
      </c>
      <c r="B1117" s="8" t="s">
        <v>434</v>
      </c>
      <c r="C1117" s="94" t="s">
        <v>435</v>
      </c>
      <c r="D1117" s="95">
        <v>3215062</v>
      </c>
      <c r="E1117" s="95">
        <v>2</v>
      </c>
      <c r="F1117" s="95"/>
      <c r="G1117" s="95">
        <v>51000</v>
      </c>
      <c r="H1117" s="95">
        <v>5.0999999999999996</v>
      </c>
      <c r="I1117" s="95"/>
      <c r="J1117" s="95" t="s">
        <v>139</v>
      </c>
      <c r="K1117" s="95" t="b">
        <v>1</v>
      </c>
      <c r="L1117" s="95">
        <v>12</v>
      </c>
      <c r="M1117" s="96">
        <v>2037</v>
      </c>
      <c r="N1117" s="97">
        <v>74266</v>
      </c>
      <c r="O1117" s="98">
        <v>46020</v>
      </c>
      <c r="P1117" s="98">
        <v>46020</v>
      </c>
      <c r="Q1117" s="99">
        <v>0</v>
      </c>
    </row>
    <row r="1118" spans="1:17">
      <c r="A1118" s="7">
        <v>2025</v>
      </c>
      <c r="B1118" s="8" t="s">
        <v>434</v>
      </c>
      <c r="C1118" s="94" t="s">
        <v>435</v>
      </c>
      <c r="D1118" s="95">
        <v>3215062</v>
      </c>
      <c r="E1118" s="95">
        <v>2</v>
      </c>
      <c r="F1118" s="95"/>
      <c r="G1118" s="95">
        <v>51000</v>
      </c>
      <c r="H1118" s="95">
        <v>5.0999999999999996</v>
      </c>
      <c r="I1118" s="95"/>
      <c r="J1118" s="95" t="s">
        <v>139</v>
      </c>
      <c r="K1118" s="95" t="b">
        <v>1</v>
      </c>
      <c r="L1118" s="95">
        <v>7</v>
      </c>
      <c r="M1118" s="96">
        <v>2032</v>
      </c>
      <c r="N1118" s="97">
        <v>191817.60000000001</v>
      </c>
      <c r="O1118" s="98">
        <v>46020</v>
      </c>
      <c r="P1118" s="98">
        <v>46020</v>
      </c>
      <c r="Q1118" s="99">
        <v>0</v>
      </c>
    </row>
    <row r="1119" spans="1:17">
      <c r="A1119" s="7">
        <v>2025</v>
      </c>
      <c r="B1119" s="8" t="s">
        <v>434</v>
      </c>
      <c r="C1119" s="94" t="s">
        <v>435</v>
      </c>
      <c r="D1119" s="95">
        <v>3215062</v>
      </c>
      <c r="E1119" s="95">
        <v>2</v>
      </c>
      <c r="F1119" s="95"/>
      <c r="G1119" s="95">
        <v>51000</v>
      </c>
      <c r="H1119" s="95">
        <v>5.0999999999999996</v>
      </c>
      <c r="I1119" s="95"/>
      <c r="J1119" s="95" t="s">
        <v>139</v>
      </c>
      <c r="K1119" s="95" t="b">
        <v>1</v>
      </c>
      <c r="L1119" s="95">
        <v>10</v>
      </c>
      <c r="M1119" s="96">
        <v>2035</v>
      </c>
      <c r="N1119" s="97">
        <v>191817.60000000001</v>
      </c>
      <c r="O1119" s="98">
        <v>46020</v>
      </c>
      <c r="P1119" s="98">
        <v>46020</v>
      </c>
      <c r="Q1119" s="99">
        <v>0</v>
      </c>
    </row>
    <row r="1120" spans="1:17">
      <c r="A1120" s="7">
        <v>2025</v>
      </c>
      <c r="B1120" s="8" t="s">
        <v>434</v>
      </c>
      <c r="C1120" s="94" t="s">
        <v>435</v>
      </c>
      <c r="D1120" s="95">
        <v>3215062</v>
      </c>
      <c r="E1120" s="95">
        <v>2</v>
      </c>
      <c r="F1120" s="95"/>
      <c r="G1120" s="95">
        <v>51000</v>
      </c>
      <c r="H1120" s="95">
        <v>5.0999999999999996</v>
      </c>
      <c r="I1120" s="95"/>
      <c r="J1120" s="95" t="s">
        <v>139</v>
      </c>
      <c r="K1120" s="95" t="b">
        <v>1</v>
      </c>
      <c r="L1120" s="95">
        <v>5</v>
      </c>
      <c r="M1120" s="96">
        <v>2030</v>
      </c>
      <c r="N1120" s="97">
        <v>191817.60000000001</v>
      </c>
      <c r="O1120" s="98">
        <v>46020</v>
      </c>
      <c r="P1120" s="98">
        <v>46020</v>
      </c>
      <c r="Q1120" s="99">
        <v>0</v>
      </c>
    </row>
    <row r="1121" spans="1:17">
      <c r="A1121" s="7">
        <v>2025</v>
      </c>
      <c r="B1121" s="8" t="s">
        <v>434</v>
      </c>
      <c r="C1121" s="94" t="s">
        <v>435</v>
      </c>
      <c r="D1121" s="95">
        <v>3215062</v>
      </c>
      <c r="E1121" s="95">
        <v>2</v>
      </c>
      <c r="F1121" s="95"/>
      <c r="G1121" s="95">
        <v>51000</v>
      </c>
      <c r="H1121" s="95">
        <v>5.0999999999999996</v>
      </c>
      <c r="I1121" s="95"/>
      <c r="J1121" s="95" t="s">
        <v>139</v>
      </c>
      <c r="K1121" s="95" t="b">
        <v>1</v>
      </c>
      <c r="L1121" s="95">
        <v>3</v>
      </c>
      <c r="M1121" s="96">
        <v>2028</v>
      </c>
      <c r="N1121" s="97">
        <v>632593.19999999995</v>
      </c>
      <c r="O1121" s="98">
        <v>46020</v>
      </c>
      <c r="P1121" s="98">
        <v>46020</v>
      </c>
      <c r="Q1121" s="99">
        <v>0</v>
      </c>
    </row>
    <row r="1122" spans="1:17">
      <c r="A1122" s="7">
        <v>2025</v>
      </c>
      <c r="B1122" s="8" t="s">
        <v>434</v>
      </c>
      <c r="C1122" s="94" t="s">
        <v>435</v>
      </c>
      <c r="D1122" s="95">
        <v>3215062</v>
      </c>
      <c r="E1122" s="95">
        <v>2</v>
      </c>
      <c r="F1122" s="95"/>
      <c r="G1122" s="95">
        <v>51000</v>
      </c>
      <c r="H1122" s="95">
        <v>5.0999999999999996</v>
      </c>
      <c r="I1122" s="95"/>
      <c r="J1122" s="95" t="s">
        <v>139</v>
      </c>
      <c r="K1122" s="95" t="b">
        <v>1</v>
      </c>
      <c r="L1122" s="95">
        <v>1</v>
      </c>
      <c r="M1122" s="96">
        <v>2026</v>
      </c>
      <c r="N1122" s="97">
        <v>803535.6</v>
      </c>
      <c r="O1122" s="98">
        <v>46020</v>
      </c>
      <c r="P1122" s="98">
        <v>46020</v>
      </c>
      <c r="Q1122" s="99">
        <v>0</v>
      </c>
    </row>
    <row r="1123" spans="1:17">
      <c r="A1123" s="7">
        <v>2025</v>
      </c>
      <c r="B1123" s="8" t="s">
        <v>434</v>
      </c>
      <c r="C1123" s="94" t="s">
        <v>435</v>
      </c>
      <c r="D1123" s="95">
        <v>3215062</v>
      </c>
      <c r="E1123" s="95">
        <v>2</v>
      </c>
      <c r="F1123" s="95"/>
      <c r="G1123" s="95">
        <v>51000</v>
      </c>
      <c r="H1123" s="95">
        <v>5.0999999999999996</v>
      </c>
      <c r="I1123" s="95"/>
      <c r="J1123" s="95" t="s">
        <v>139</v>
      </c>
      <c r="K1123" s="95" t="b">
        <v>1</v>
      </c>
      <c r="L1123" s="95">
        <v>13</v>
      </c>
      <c r="M1123" s="96">
        <v>2038</v>
      </c>
      <c r="N1123" s="97">
        <v>74266</v>
      </c>
      <c r="O1123" s="98">
        <v>46020</v>
      </c>
      <c r="P1123" s="98">
        <v>46020</v>
      </c>
      <c r="Q1123" s="99">
        <v>0</v>
      </c>
    </row>
    <row r="1124" spans="1:17">
      <c r="A1124" s="7">
        <v>2025</v>
      </c>
      <c r="B1124" s="8" t="s">
        <v>434</v>
      </c>
      <c r="C1124" s="94" t="s">
        <v>435</v>
      </c>
      <c r="D1124" s="95">
        <v>3215062</v>
      </c>
      <c r="E1124" s="95">
        <v>2</v>
      </c>
      <c r="F1124" s="95"/>
      <c r="G1124" s="95">
        <v>51000</v>
      </c>
      <c r="H1124" s="95">
        <v>5.0999999999999996</v>
      </c>
      <c r="I1124" s="95"/>
      <c r="J1124" s="95" t="s">
        <v>139</v>
      </c>
      <c r="K1124" s="95" t="b">
        <v>1</v>
      </c>
      <c r="L1124" s="95">
        <v>4</v>
      </c>
      <c r="M1124" s="96">
        <v>2029</v>
      </c>
      <c r="N1124" s="97">
        <v>541436.11</v>
      </c>
      <c r="O1124" s="98">
        <v>46020</v>
      </c>
      <c r="P1124" s="98">
        <v>46020</v>
      </c>
      <c r="Q1124" s="99">
        <v>0</v>
      </c>
    </row>
    <row r="1125" spans="1:17">
      <c r="A1125" s="7">
        <v>2025</v>
      </c>
      <c r="B1125" s="8" t="s">
        <v>434</v>
      </c>
      <c r="C1125" s="94" t="s">
        <v>435</v>
      </c>
      <c r="D1125" s="95">
        <v>3215062</v>
      </c>
      <c r="E1125" s="95">
        <v>2</v>
      </c>
      <c r="F1125" s="95"/>
      <c r="G1125" s="95">
        <v>51000</v>
      </c>
      <c r="H1125" s="95">
        <v>5.0999999999999996</v>
      </c>
      <c r="I1125" s="95"/>
      <c r="J1125" s="95" t="s">
        <v>139</v>
      </c>
      <c r="K1125" s="95" t="b">
        <v>1</v>
      </c>
      <c r="L1125" s="95">
        <v>8</v>
      </c>
      <c r="M1125" s="96">
        <v>2033</v>
      </c>
      <c r="N1125" s="97">
        <v>191817.60000000001</v>
      </c>
      <c r="O1125" s="98">
        <v>46020</v>
      </c>
      <c r="P1125" s="98">
        <v>46020</v>
      </c>
      <c r="Q1125" s="99">
        <v>0</v>
      </c>
    </row>
    <row r="1126" spans="1:17">
      <c r="A1126" s="7">
        <v>2025</v>
      </c>
      <c r="B1126" s="8" t="s">
        <v>434</v>
      </c>
      <c r="C1126" s="94" t="s">
        <v>435</v>
      </c>
      <c r="D1126" s="95">
        <v>3215062</v>
      </c>
      <c r="E1126" s="95">
        <v>2</v>
      </c>
      <c r="F1126" s="95"/>
      <c r="G1126" s="95">
        <v>51000</v>
      </c>
      <c r="H1126" s="95">
        <v>5.0999999999999996</v>
      </c>
      <c r="I1126" s="95"/>
      <c r="J1126" s="95" t="s">
        <v>139</v>
      </c>
      <c r="K1126" s="95" t="b">
        <v>1</v>
      </c>
      <c r="L1126" s="95">
        <v>0</v>
      </c>
      <c r="M1126" s="96">
        <v>2025</v>
      </c>
      <c r="N1126" s="97">
        <v>685984</v>
      </c>
      <c r="O1126" s="98">
        <v>46020</v>
      </c>
      <c r="P1126" s="98">
        <v>46020</v>
      </c>
      <c r="Q1126" s="99">
        <v>0</v>
      </c>
    </row>
    <row r="1127" spans="1:17">
      <c r="A1127" s="7">
        <v>2025</v>
      </c>
      <c r="B1127" s="8" t="s">
        <v>434</v>
      </c>
      <c r="C1127" s="94" t="s">
        <v>435</v>
      </c>
      <c r="D1127" s="95">
        <v>3215062</v>
      </c>
      <c r="E1127" s="95">
        <v>2</v>
      </c>
      <c r="F1127" s="95"/>
      <c r="G1127" s="95">
        <v>12000</v>
      </c>
      <c r="H1127" s="95">
        <v>1.2</v>
      </c>
      <c r="I1127" s="95"/>
      <c r="J1127" s="95" t="s">
        <v>118</v>
      </c>
      <c r="K1127" s="95" t="b">
        <v>1</v>
      </c>
      <c r="L1127" s="95">
        <v>10</v>
      </c>
      <c r="M1127" s="96">
        <v>2035</v>
      </c>
      <c r="N1127" s="97">
        <v>100000</v>
      </c>
      <c r="O1127" s="98">
        <v>46020</v>
      </c>
      <c r="P1127" s="98">
        <v>46020</v>
      </c>
      <c r="Q1127" s="99">
        <v>0</v>
      </c>
    </row>
    <row r="1128" spans="1:17">
      <c r="A1128" s="7">
        <v>2025</v>
      </c>
      <c r="B1128" s="8" t="s">
        <v>434</v>
      </c>
      <c r="C1128" s="94" t="s">
        <v>435</v>
      </c>
      <c r="D1128" s="95">
        <v>3215062</v>
      </c>
      <c r="E1128" s="95">
        <v>2</v>
      </c>
      <c r="F1128" s="95"/>
      <c r="G1128" s="95">
        <v>12000</v>
      </c>
      <c r="H1128" s="95">
        <v>1.2</v>
      </c>
      <c r="I1128" s="95"/>
      <c r="J1128" s="95" t="s">
        <v>118</v>
      </c>
      <c r="K1128" s="95" t="b">
        <v>1</v>
      </c>
      <c r="L1128" s="95">
        <v>8</v>
      </c>
      <c r="M1128" s="96">
        <v>2033</v>
      </c>
      <c r="N1128" s="97">
        <v>100000</v>
      </c>
      <c r="O1128" s="98">
        <v>46020</v>
      </c>
      <c r="P1128" s="98">
        <v>46020</v>
      </c>
      <c r="Q1128" s="99">
        <v>0</v>
      </c>
    </row>
    <row r="1129" spans="1:17">
      <c r="A1129" s="7">
        <v>2025</v>
      </c>
      <c r="B1129" s="8" t="s">
        <v>434</v>
      </c>
      <c r="C1129" s="94" t="s">
        <v>435</v>
      </c>
      <c r="D1129" s="95">
        <v>3215062</v>
      </c>
      <c r="E1129" s="95">
        <v>2</v>
      </c>
      <c r="F1129" s="95"/>
      <c r="G1129" s="95">
        <v>12000</v>
      </c>
      <c r="H1129" s="95">
        <v>1.2</v>
      </c>
      <c r="I1129" s="95"/>
      <c r="J1129" s="95" t="s">
        <v>118</v>
      </c>
      <c r="K1129" s="95" t="b">
        <v>1</v>
      </c>
      <c r="L1129" s="95">
        <v>12</v>
      </c>
      <c r="M1129" s="96">
        <v>2037</v>
      </c>
      <c r="N1129" s="97">
        <v>100000</v>
      </c>
      <c r="O1129" s="98">
        <v>46020</v>
      </c>
      <c r="P1129" s="98">
        <v>46020</v>
      </c>
      <c r="Q1129" s="99">
        <v>0</v>
      </c>
    </row>
    <row r="1130" spans="1:17">
      <c r="A1130" s="7">
        <v>2025</v>
      </c>
      <c r="B1130" s="8" t="s">
        <v>434</v>
      </c>
      <c r="C1130" s="94" t="s">
        <v>435</v>
      </c>
      <c r="D1130" s="95">
        <v>3215062</v>
      </c>
      <c r="E1130" s="95">
        <v>2</v>
      </c>
      <c r="F1130" s="95"/>
      <c r="G1130" s="95">
        <v>12000</v>
      </c>
      <c r="H1130" s="95">
        <v>1.2</v>
      </c>
      <c r="I1130" s="95"/>
      <c r="J1130" s="95" t="s">
        <v>118</v>
      </c>
      <c r="K1130" s="95" t="b">
        <v>1</v>
      </c>
      <c r="L1130" s="95">
        <v>11</v>
      </c>
      <c r="M1130" s="96">
        <v>2036</v>
      </c>
      <c r="N1130" s="97">
        <v>100000</v>
      </c>
      <c r="O1130" s="98">
        <v>46020</v>
      </c>
      <c r="P1130" s="98">
        <v>46020</v>
      </c>
      <c r="Q1130" s="99">
        <v>0</v>
      </c>
    </row>
    <row r="1131" spans="1:17">
      <c r="A1131" s="7">
        <v>2025</v>
      </c>
      <c r="B1131" s="8" t="s">
        <v>434</v>
      </c>
      <c r="C1131" s="94" t="s">
        <v>435</v>
      </c>
      <c r="D1131" s="95">
        <v>3215062</v>
      </c>
      <c r="E1131" s="95">
        <v>2</v>
      </c>
      <c r="F1131" s="95"/>
      <c r="G1131" s="95">
        <v>12000</v>
      </c>
      <c r="H1131" s="95">
        <v>1.2</v>
      </c>
      <c r="I1131" s="95"/>
      <c r="J1131" s="95" t="s">
        <v>118</v>
      </c>
      <c r="K1131" s="95" t="b">
        <v>1</v>
      </c>
      <c r="L1131" s="95">
        <v>7</v>
      </c>
      <c r="M1131" s="96">
        <v>2032</v>
      </c>
      <c r="N1131" s="97">
        <v>100000</v>
      </c>
      <c r="O1131" s="98">
        <v>46020</v>
      </c>
      <c r="P1131" s="98">
        <v>46020</v>
      </c>
      <c r="Q1131" s="99">
        <v>0</v>
      </c>
    </row>
    <row r="1132" spans="1:17">
      <c r="A1132" s="7">
        <v>2025</v>
      </c>
      <c r="B1132" s="8" t="s">
        <v>434</v>
      </c>
      <c r="C1132" s="94" t="s">
        <v>435</v>
      </c>
      <c r="D1132" s="95">
        <v>3215062</v>
      </c>
      <c r="E1132" s="95">
        <v>2</v>
      </c>
      <c r="F1132" s="95"/>
      <c r="G1132" s="95">
        <v>12000</v>
      </c>
      <c r="H1132" s="95">
        <v>1.2</v>
      </c>
      <c r="I1132" s="95"/>
      <c r="J1132" s="95" t="s">
        <v>118</v>
      </c>
      <c r="K1132" s="95" t="b">
        <v>1</v>
      </c>
      <c r="L1132" s="95">
        <v>5</v>
      </c>
      <c r="M1132" s="96">
        <v>2030</v>
      </c>
      <c r="N1132" s="97">
        <v>780000</v>
      </c>
      <c r="O1132" s="98">
        <v>46020</v>
      </c>
      <c r="P1132" s="98">
        <v>46020</v>
      </c>
      <c r="Q1132" s="99">
        <v>0</v>
      </c>
    </row>
    <row r="1133" spans="1:17">
      <c r="A1133" s="7">
        <v>2025</v>
      </c>
      <c r="B1133" s="8" t="s">
        <v>434</v>
      </c>
      <c r="C1133" s="94" t="s">
        <v>435</v>
      </c>
      <c r="D1133" s="95">
        <v>3215062</v>
      </c>
      <c r="E1133" s="95">
        <v>2</v>
      </c>
      <c r="F1133" s="95"/>
      <c r="G1133" s="95">
        <v>12000</v>
      </c>
      <c r="H1133" s="95">
        <v>1.2</v>
      </c>
      <c r="I1133" s="95"/>
      <c r="J1133" s="95" t="s">
        <v>118</v>
      </c>
      <c r="K1133" s="95" t="b">
        <v>1</v>
      </c>
      <c r="L1133" s="95">
        <v>3</v>
      </c>
      <c r="M1133" s="96">
        <v>2028</v>
      </c>
      <c r="N1133" s="97">
        <v>5576630.5999999996</v>
      </c>
      <c r="O1133" s="98">
        <v>46020</v>
      </c>
      <c r="P1133" s="98">
        <v>46020</v>
      </c>
      <c r="Q1133" s="99">
        <v>0</v>
      </c>
    </row>
    <row r="1134" spans="1:17">
      <c r="A1134" s="7">
        <v>2025</v>
      </c>
      <c r="B1134" s="8" t="s">
        <v>434</v>
      </c>
      <c r="C1134" s="94" t="s">
        <v>435</v>
      </c>
      <c r="D1134" s="95">
        <v>3215062</v>
      </c>
      <c r="E1134" s="95">
        <v>2</v>
      </c>
      <c r="F1134" s="95"/>
      <c r="G1134" s="95">
        <v>12000</v>
      </c>
      <c r="H1134" s="95">
        <v>1.2</v>
      </c>
      <c r="I1134" s="95"/>
      <c r="J1134" s="95" t="s">
        <v>118</v>
      </c>
      <c r="K1134" s="95" t="b">
        <v>1</v>
      </c>
      <c r="L1134" s="95">
        <v>4</v>
      </c>
      <c r="M1134" s="96">
        <v>2029</v>
      </c>
      <c r="N1134" s="97">
        <v>100000</v>
      </c>
      <c r="O1134" s="98">
        <v>46020</v>
      </c>
      <c r="P1134" s="98">
        <v>46020</v>
      </c>
      <c r="Q1134" s="99">
        <v>0</v>
      </c>
    </row>
    <row r="1135" spans="1:17">
      <c r="A1135" s="7">
        <v>2025</v>
      </c>
      <c r="B1135" s="8" t="s">
        <v>434</v>
      </c>
      <c r="C1135" s="94" t="s">
        <v>435</v>
      </c>
      <c r="D1135" s="95">
        <v>3215062</v>
      </c>
      <c r="E1135" s="95">
        <v>2</v>
      </c>
      <c r="F1135" s="95"/>
      <c r="G1135" s="95">
        <v>12000</v>
      </c>
      <c r="H1135" s="95">
        <v>1.2</v>
      </c>
      <c r="I1135" s="95"/>
      <c r="J1135" s="95" t="s">
        <v>118</v>
      </c>
      <c r="K1135" s="95" t="b">
        <v>1</v>
      </c>
      <c r="L1135" s="95">
        <v>0</v>
      </c>
      <c r="M1135" s="96">
        <v>2025</v>
      </c>
      <c r="N1135" s="97">
        <v>20280463.870000001</v>
      </c>
      <c r="O1135" s="98">
        <v>46020</v>
      </c>
      <c r="P1135" s="98">
        <v>46020</v>
      </c>
      <c r="Q1135" s="99">
        <v>0</v>
      </c>
    </row>
    <row r="1136" spans="1:17">
      <c r="A1136" s="7">
        <v>2025</v>
      </c>
      <c r="B1136" s="8" t="s">
        <v>434</v>
      </c>
      <c r="C1136" s="94" t="s">
        <v>435</v>
      </c>
      <c r="D1136" s="95">
        <v>3215062</v>
      </c>
      <c r="E1136" s="95">
        <v>2</v>
      </c>
      <c r="F1136" s="95"/>
      <c r="G1136" s="95">
        <v>12000</v>
      </c>
      <c r="H1136" s="95">
        <v>1.2</v>
      </c>
      <c r="I1136" s="95"/>
      <c r="J1136" s="95" t="s">
        <v>118</v>
      </c>
      <c r="K1136" s="95" t="b">
        <v>1</v>
      </c>
      <c r="L1136" s="95">
        <v>6</v>
      </c>
      <c r="M1136" s="96">
        <v>2031</v>
      </c>
      <c r="N1136" s="97">
        <v>100000</v>
      </c>
      <c r="O1136" s="98">
        <v>46020</v>
      </c>
      <c r="P1136" s="98">
        <v>46020</v>
      </c>
      <c r="Q1136" s="99">
        <v>0</v>
      </c>
    </row>
    <row r="1137" spans="1:17">
      <c r="A1137" s="7">
        <v>2025</v>
      </c>
      <c r="B1137" s="8" t="s">
        <v>434</v>
      </c>
      <c r="C1137" s="94" t="s">
        <v>435</v>
      </c>
      <c r="D1137" s="95">
        <v>3215062</v>
      </c>
      <c r="E1137" s="95">
        <v>2</v>
      </c>
      <c r="F1137" s="95"/>
      <c r="G1137" s="95">
        <v>12000</v>
      </c>
      <c r="H1137" s="95">
        <v>1.2</v>
      </c>
      <c r="I1137" s="95"/>
      <c r="J1137" s="95" t="s">
        <v>118</v>
      </c>
      <c r="K1137" s="95" t="b">
        <v>1</v>
      </c>
      <c r="L1137" s="95">
        <v>1</v>
      </c>
      <c r="M1137" s="96">
        <v>2026</v>
      </c>
      <c r="N1137" s="97">
        <v>11437500</v>
      </c>
      <c r="O1137" s="98">
        <v>46020</v>
      </c>
      <c r="P1137" s="98">
        <v>46020</v>
      </c>
      <c r="Q1137" s="99">
        <v>0</v>
      </c>
    </row>
    <row r="1138" spans="1:17">
      <c r="A1138" s="7">
        <v>2025</v>
      </c>
      <c r="B1138" s="8" t="s">
        <v>434</v>
      </c>
      <c r="C1138" s="94" t="s">
        <v>435</v>
      </c>
      <c r="D1138" s="95">
        <v>3215062</v>
      </c>
      <c r="E1138" s="95">
        <v>2</v>
      </c>
      <c r="F1138" s="95"/>
      <c r="G1138" s="95">
        <v>12000</v>
      </c>
      <c r="H1138" s="95">
        <v>1.2</v>
      </c>
      <c r="I1138" s="95"/>
      <c r="J1138" s="95" t="s">
        <v>118</v>
      </c>
      <c r="K1138" s="95" t="b">
        <v>1</v>
      </c>
      <c r="L1138" s="95">
        <v>2</v>
      </c>
      <c r="M1138" s="96">
        <v>2027</v>
      </c>
      <c r="N1138" s="97">
        <v>11755000</v>
      </c>
      <c r="O1138" s="98">
        <v>46020</v>
      </c>
      <c r="P1138" s="98">
        <v>46020</v>
      </c>
      <c r="Q1138" s="99">
        <v>0</v>
      </c>
    </row>
    <row r="1139" spans="1:17">
      <c r="A1139" s="7">
        <v>2025</v>
      </c>
      <c r="B1139" s="8" t="s">
        <v>434</v>
      </c>
      <c r="C1139" s="94" t="s">
        <v>435</v>
      </c>
      <c r="D1139" s="95">
        <v>3215062</v>
      </c>
      <c r="E1139" s="95">
        <v>2</v>
      </c>
      <c r="F1139" s="95"/>
      <c r="G1139" s="95">
        <v>12000</v>
      </c>
      <c r="H1139" s="95">
        <v>1.2</v>
      </c>
      <c r="I1139" s="95"/>
      <c r="J1139" s="95" t="s">
        <v>118</v>
      </c>
      <c r="K1139" s="95" t="b">
        <v>1</v>
      </c>
      <c r="L1139" s="95">
        <v>9</v>
      </c>
      <c r="M1139" s="96">
        <v>2034</v>
      </c>
      <c r="N1139" s="97">
        <v>100000</v>
      </c>
      <c r="O1139" s="98">
        <v>46020</v>
      </c>
      <c r="P1139" s="98">
        <v>46020</v>
      </c>
      <c r="Q1139" s="99">
        <v>0</v>
      </c>
    </row>
    <row r="1140" spans="1:17">
      <c r="A1140" s="7">
        <v>2025</v>
      </c>
      <c r="B1140" s="8" t="s">
        <v>434</v>
      </c>
      <c r="C1140" s="94" t="s">
        <v>435</v>
      </c>
      <c r="D1140" s="95">
        <v>3215062</v>
      </c>
      <c r="E1140" s="95">
        <v>2</v>
      </c>
      <c r="F1140" s="95"/>
      <c r="G1140" s="95">
        <v>12000</v>
      </c>
      <c r="H1140" s="95">
        <v>1.2</v>
      </c>
      <c r="I1140" s="95"/>
      <c r="J1140" s="95" t="s">
        <v>118</v>
      </c>
      <c r="K1140" s="95" t="b">
        <v>1</v>
      </c>
      <c r="L1140" s="95">
        <v>13</v>
      </c>
      <c r="M1140" s="96">
        <v>2038</v>
      </c>
      <c r="N1140" s="97">
        <v>100000</v>
      </c>
      <c r="O1140" s="98">
        <v>46020</v>
      </c>
      <c r="P1140" s="98">
        <v>46020</v>
      </c>
      <c r="Q1140" s="99">
        <v>0</v>
      </c>
    </row>
    <row r="1141" spans="1:17">
      <c r="A1141" s="7">
        <v>2025</v>
      </c>
      <c r="B1141" s="8" t="s">
        <v>434</v>
      </c>
      <c r="C1141" s="94" t="s">
        <v>435</v>
      </c>
      <c r="D1141" s="95">
        <v>3215062</v>
      </c>
      <c r="E1141" s="95">
        <v>2</v>
      </c>
      <c r="F1141" s="95"/>
      <c r="G1141" s="95">
        <v>51111</v>
      </c>
      <c r="H1141" s="95" t="s">
        <v>44</v>
      </c>
      <c r="I1141" s="95"/>
      <c r="J1141" s="95" t="s">
        <v>141</v>
      </c>
      <c r="K1141" s="95" t="b">
        <v>1</v>
      </c>
      <c r="L1141" s="95">
        <v>10</v>
      </c>
      <c r="M1141" s="96">
        <v>2035</v>
      </c>
      <c r="N1141" s="97">
        <v>0</v>
      </c>
      <c r="O1141" s="98">
        <v>46020</v>
      </c>
      <c r="P1141" s="98">
        <v>46020</v>
      </c>
      <c r="Q1141" s="99">
        <v>0</v>
      </c>
    </row>
    <row r="1142" spans="1:17">
      <c r="A1142" s="7">
        <v>2025</v>
      </c>
      <c r="B1142" s="8" t="s">
        <v>434</v>
      </c>
      <c r="C1142" s="94" t="s">
        <v>435</v>
      </c>
      <c r="D1142" s="95">
        <v>3215062</v>
      </c>
      <c r="E1142" s="95">
        <v>2</v>
      </c>
      <c r="F1142" s="95"/>
      <c r="G1142" s="95">
        <v>51111</v>
      </c>
      <c r="H1142" s="95" t="s">
        <v>44</v>
      </c>
      <c r="I1142" s="95"/>
      <c r="J1142" s="95" t="s">
        <v>141</v>
      </c>
      <c r="K1142" s="95" t="b">
        <v>1</v>
      </c>
      <c r="L1142" s="95">
        <v>9</v>
      </c>
      <c r="M1142" s="96">
        <v>2034</v>
      </c>
      <c r="N1142" s="97">
        <v>0</v>
      </c>
      <c r="O1142" s="98">
        <v>46020</v>
      </c>
      <c r="P1142" s="98">
        <v>46020</v>
      </c>
      <c r="Q1142" s="99">
        <v>0</v>
      </c>
    </row>
    <row r="1143" spans="1:17">
      <c r="A1143" s="7">
        <v>2025</v>
      </c>
      <c r="B1143" s="8" t="s">
        <v>434</v>
      </c>
      <c r="C1143" s="94" t="s">
        <v>435</v>
      </c>
      <c r="D1143" s="95">
        <v>3215062</v>
      </c>
      <c r="E1143" s="95">
        <v>2</v>
      </c>
      <c r="F1143" s="95"/>
      <c r="G1143" s="95">
        <v>51111</v>
      </c>
      <c r="H1143" s="95" t="s">
        <v>44</v>
      </c>
      <c r="I1143" s="95"/>
      <c r="J1143" s="95" t="s">
        <v>141</v>
      </c>
      <c r="K1143" s="95" t="b">
        <v>1</v>
      </c>
      <c r="L1143" s="95">
        <v>8</v>
      </c>
      <c r="M1143" s="96">
        <v>2033</v>
      </c>
      <c r="N1143" s="97">
        <v>0</v>
      </c>
      <c r="O1143" s="98">
        <v>46020</v>
      </c>
      <c r="P1143" s="98">
        <v>46020</v>
      </c>
      <c r="Q1143" s="99">
        <v>0</v>
      </c>
    </row>
    <row r="1144" spans="1:17">
      <c r="A1144" s="7">
        <v>2025</v>
      </c>
      <c r="B1144" s="8" t="s">
        <v>434</v>
      </c>
      <c r="C1144" s="94" t="s">
        <v>435</v>
      </c>
      <c r="D1144" s="95">
        <v>3215062</v>
      </c>
      <c r="E1144" s="95">
        <v>2</v>
      </c>
      <c r="F1144" s="95"/>
      <c r="G1144" s="95">
        <v>51111</v>
      </c>
      <c r="H1144" s="95" t="s">
        <v>44</v>
      </c>
      <c r="I1144" s="95"/>
      <c r="J1144" s="95" t="s">
        <v>141</v>
      </c>
      <c r="K1144" s="95" t="b">
        <v>1</v>
      </c>
      <c r="L1144" s="95">
        <v>1</v>
      </c>
      <c r="M1144" s="96">
        <v>2026</v>
      </c>
      <c r="N1144" s="97">
        <v>0</v>
      </c>
      <c r="O1144" s="98">
        <v>46020</v>
      </c>
      <c r="P1144" s="98">
        <v>46020</v>
      </c>
      <c r="Q1144" s="99">
        <v>0</v>
      </c>
    </row>
    <row r="1145" spans="1:17">
      <c r="A1145" s="7">
        <v>2025</v>
      </c>
      <c r="B1145" s="8" t="s">
        <v>434</v>
      </c>
      <c r="C1145" s="94" t="s">
        <v>435</v>
      </c>
      <c r="D1145" s="95">
        <v>3215062</v>
      </c>
      <c r="E1145" s="95">
        <v>2</v>
      </c>
      <c r="F1145" s="95"/>
      <c r="G1145" s="95">
        <v>51111</v>
      </c>
      <c r="H1145" s="95" t="s">
        <v>44</v>
      </c>
      <c r="I1145" s="95"/>
      <c r="J1145" s="95" t="s">
        <v>141</v>
      </c>
      <c r="K1145" s="95" t="b">
        <v>1</v>
      </c>
      <c r="L1145" s="95">
        <v>0</v>
      </c>
      <c r="M1145" s="96">
        <v>2025</v>
      </c>
      <c r="N1145" s="97">
        <v>0</v>
      </c>
      <c r="O1145" s="98">
        <v>46020</v>
      </c>
      <c r="P1145" s="98">
        <v>46020</v>
      </c>
      <c r="Q1145" s="99">
        <v>0</v>
      </c>
    </row>
    <row r="1146" spans="1:17">
      <c r="A1146" s="7">
        <v>2025</v>
      </c>
      <c r="B1146" s="8" t="s">
        <v>434</v>
      </c>
      <c r="C1146" s="94" t="s">
        <v>435</v>
      </c>
      <c r="D1146" s="95">
        <v>3215062</v>
      </c>
      <c r="E1146" s="95">
        <v>2</v>
      </c>
      <c r="F1146" s="95"/>
      <c r="G1146" s="95">
        <v>51111</v>
      </c>
      <c r="H1146" s="95" t="s">
        <v>44</v>
      </c>
      <c r="I1146" s="95"/>
      <c r="J1146" s="95" t="s">
        <v>141</v>
      </c>
      <c r="K1146" s="95" t="b">
        <v>1</v>
      </c>
      <c r="L1146" s="95">
        <v>11</v>
      </c>
      <c r="M1146" s="96">
        <v>2036</v>
      </c>
      <c r="N1146" s="97">
        <v>0</v>
      </c>
      <c r="O1146" s="98">
        <v>46020</v>
      </c>
      <c r="P1146" s="98">
        <v>46020</v>
      </c>
      <c r="Q1146" s="99">
        <v>0</v>
      </c>
    </row>
    <row r="1147" spans="1:17">
      <c r="A1147" s="7">
        <v>2025</v>
      </c>
      <c r="B1147" s="8" t="s">
        <v>434</v>
      </c>
      <c r="C1147" s="94" t="s">
        <v>435</v>
      </c>
      <c r="D1147" s="95">
        <v>3215062</v>
      </c>
      <c r="E1147" s="95">
        <v>2</v>
      </c>
      <c r="F1147" s="95"/>
      <c r="G1147" s="95">
        <v>51111</v>
      </c>
      <c r="H1147" s="95" t="s">
        <v>44</v>
      </c>
      <c r="I1147" s="95"/>
      <c r="J1147" s="95" t="s">
        <v>141</v>
      </c>
      <c r="K1147" s="95" t="b">
        <v>1</v>
      </c>
      <c r="L1147" s="95">
        <v>3</v>
      </c>
      <c r="M1147" s="96">
        <v>2028</v>
      </c>
      <c r="N1147" s="97">
        <v>0</v>
      </c>
      <c r="O1147" s="98">
        <v>46020</v>
      </c>
      <c r="P1147" s="98">
        <v>46020</v>
      </c>
      <c r="Q1147" s="99">
        <v>0</v>
      </c>
    </row>
    <row r="1148" spans="1:17">
      <c r="A1148" s="7">
        <v>2025</v>
      </c>
      <c r="B1148" s="8" t="s">
        <v>434</v>
      </c>
      <c r="C1148" s="94" t="s">
        <v>435</v>
      </c>
      <c r="D1148" s="95">
        <v>3215062</v>
      </c>
      <c r="E1148" s="95">
        <v>2</v>
      </c>
      <c r="F1148" s="95"/>
      <c r="G1148" s="95">
        <v>51111</v>
      </c>
      <c r="H1148" s="95" t="s">
        <v>44</v>
      </c>
      <c r="I1148" s="95"/>
      <c r="J1148" s="95" t="s">
        <v>141</v>
      </c>
      <c r="K1148" s="95" t="b">
        <v>1</v>
      </c>
      <c r="L1148" s="95">
        <v>7</v>
      </c>
      <c r="M1148" s="96">
        <v>2032</v>
      </c>
      <c r="N1148" s="97">
        <v>0</v>
      </c>
      <c r="O1148" s="98">
        <v>46020</v>
      </c>
      <c r="P1148" s="98">
        <v>46020</v>
      </c>
      <c r="Q1148" s="99">
        <v>0</v>
      </c>
    </row>
    <row r="1149" spans="1:17">
      <c r="A1149" s="7">
        <v>2025</v>
      </c>
      <c r="B1149" s="8" t="s">
        <v>434</v>
      </c>
      <c r="C1149" s="94" t="s">
        <v>435</v>
      </c>
      <c r="D1149" s="95">
        <v>3215062</v>
      </c>
      <c r="E1149" s="95">
        <v>2</v>
      </c>
      <c r="F1149" s="95"/>
      <c r="G1149" s="95">
        <v>51111</v>
      </c>
      <c r="H1149" s="95" t="s">
        <v>44</v>
      </c>
      <c r="I1149" s="95"/>
      <c r="J1149" s="95" t="s">
        <v>141</v>
      </c>
      <c r="K1149" s="95" t="b">
        <v>1</v>
      </c>
      <c r="L1149" s="95">
        <v>12</v>
      </c>
      <c r="M1149" s="96">
        <v>2037</v>
      </c>
      <c r="N1149" s="97">
        <v>0</v>
      </c>
      <c r="O1149" s="98">
        <v>46020</v>
      </c>
      <c r="P1149" s="98">
        <v>46020</v>
      </c>
      <c r="Q1149" s="99">
        <v>0</v>
      </c>
    </row>
    <row r="1150" spans="1:17">
      <c r="A1150" s="7">
        <v>2025</v>
      </c>
      <c r="B1150" s="8" t="s">
        <v>434</v>
      </c>
      <c r="C1150" s="94" t="s">
        <v>435</v>
      </c>
      <c r="D1150" s="95">
        <v>3215062</v>
      </c>
      <c r="E1150" s="95">
        <v>2</v>
      </c>
      <c r="F1150" s="95"/>
      <c r="G1150" s="95">
        <v>51111</v>
      </c>
      <c r="H1150" s="95" t="s">
        <v>44</v>
      </c>
      <c r="I1150" s="95"/>
      <c r="J1150" s="95" t="s">
        <v>141</v>
      </c>
      <c r="K1150" s="95" t="b">
        <v>1</v>
      </c>
      <c r="L1150" s="95">
        <v>13</v>
      </c>
      <c r="M1150" s="96">
        <v>2038</v>
      </c>
      <c r="N1150" s="97">
        <v>0</v>
      </c>
      <c r="O1150" s="98">
        <v>46020</v>
      </c>
      <c r="P1150" s="98">
        <v>46020</v>
      </c>
      <c r="Q1150" s="99">
        <v>0</v>
      </c>
    </row>
    <row r="1151" spans="1:17">
      <c r="A1151" s="7">
        <v>2025</v>
      </c>
      <c r="B1151" s="8" t="s">
        <v>434</v>
      </c>
      <c r="C1151" s="94" t="s">
        <v>435</v>
      </c>
      <c r="D1151" s="95">
        <v>3215062</v>
      </c>
      <c r="E1151" s="95">
        <v>2</v>
      </c>
      <c r="F1151" s="95"/>
      <c r="G1151" s="95">
        <v>51111</v>
      </c>
      <c r="H1151" s="95" t="s">
        <v>44</v>
      </c>
      <c r="I1151" s="95"/>
      <c r="J1151" s="95" t="s">
        <v>141</v>
      </c>
      <c r="K1151" s="95" t="b">
        <v>1</v>
      </c>
      <c r="L1151" s="95">
        <v>5</v>
      </c>
      <c r="M1151" s="96">
        <v>2030</v>
      </c>
      <c r="N1151" s="97">
        <v>0</v>
      </c>
      <c r="O1151" s="98">
        <v>46020</v>
      </c>
      <c r="P1151" s="98">
        <v>46020</v>
      </c>
      <c r="Q1151" s="99">
        <v>0</v>
      </c>
    </row>
    <row r="1152" spans="1:17">
      <c r="A1152" s="7">
        <v>2025</v>
      </c>
      <c r="B1152" s="8" t="s">
        <v>434</v>
      </c>
      <c r="C1152" s="94" t="s">
        <v>435</v>
      </c>
      <c r="D1152" s="95">
        <v>3215062</v>
      </c>
      <c r="E1152" s="95">
        <v>2</v>
      </c>
      <c r="F1152" s="95"/>
      <c r="G1152" s="95">
        <v>51111</v>
      </c>
      <c r="H1152" s="95" t="s">
        <v>44</v>
      </c>
      <c r="I1152" s="95"/>
      <c r="J1152" s="95" t="s">
        <v>141</v>
      </c>
      <c r="K1152" s="95" t="b">
        <v>1</v>
      </c>
      <c r="L1152" s="95">
        <v>6</v>
      </c>
      <c r="M1152" s="96">
        <v>2031</v>
      </c>
      <c r="N1152" s="97">
        <v>0</v>
      </c>
      <c r="O1152" s="98">
        <v>46020</v>
      </c>
      <c r="P1152" s="98">
        <v>46020</v>
      </c>
      <c r="Q1152" s="99">
        <v>0</v>
      </c>
    </row>
    <row r="1153" spans="1:17">
      <c r="A1153" s="7">
        <v>2025</v>
      </c>
      <c r="B1153" s="8" t="s">
        <v>434</v>
      </c>
      <c r="C1153" s="94" t="s">
        <v>435</v>
      </c>
      <c r="D1153" s="95">
        <v>3215062</v>
      </c>
      <c r="E1153" s="95">
        <v>2</v>
      </c>
      <c r="F1153" s="95"/>
      <c r="G1153" s="95">
        <v>51111</v>
      </c>
      <c r="H1153" s="95" t="s">
        <v>44</v>
      </c>
      <c r="I1153" s="95"/>
      <c r="J1153" s="95" t="s">
        <v>141</v>
      </c>
      <c r="K1153" s="95" t="b">
        <v>1</v>
      </c>
      <c r="L1153" s="95">
        <v>2</v>
      </c>
      <c r="M1153" s="96">
        <v>2027</v>
      </c>
      <c r="N1153" s="97">
        <v>0</v>
      </c>
      <c r="O1153" s="98">
        <v>46020</v>
      </c>
      <c r="P1153" s="98">
        <v>46020</v>
      </c>
      <c r="Q1153" s="99">
        <v>0</v>
      </c>
    </row>
    <row r="1154" spans="1:17">
      <c r="A1154" s="7">
        <v>2025</v>
      </c>
      <c r="B1154" s="8" t="s">
        <v>434</v>
      </c>
      <c r="C1154" s="94" t="s">
        <v>435</v>
      </c>
      <c r="D1154" s="95">
        <v>3215062</v>
      </c>
      <c r="E1154" s="95">
        <v>2</v>
      </c>
      <c r="F1154" s="95"/>
      <c r="G1154" s="95">
        <v>51111</v>
      </c>
      <c r="H1154" s="95" t="s">
        <v>44</v>
      </c>
      <c r="I1154" s="95"/>
      <c r="J1154" s="95" t="s">
        <v>141</v>
      </c>
      <c r="K1154" s="95" t="b">
        <v>1</v>
      </c>
      <c r="L1154" s="95">
        <v>4</v>
      </c>
      <c r="M1154" s="96">
        <v>2029</v>
      </c>
      <c r="N1154" s="97">
        <v>0</v>
      </c>
      <c r="O1154" s="98">
        <v>46020</v>
      </c>
      <c r="P1154" s="98">
        <v>46020</v>
      </c>
      <c r="Q1154" s="99">
        <v>0</v>
      </c>
    </row>
    <row r="1155" spans="1:17">
      <c r="A1155" s="7">
        <v>2025</v>
      </c>
      <c r="B1155" s="8" t="s">
        <v>434</v>
      </c>
      <c r="C1155" s="94" t="s">
        <v>435</v>
      </c>
      <c r="D1155" s="95">
        <v>3215062</v>
      </c>
      <c r="E1155" s="95">
        <v>2</v>
      </c>
      <c r="F1155" s="95"/>
      <c r="G1155" s="95">
        <v>22110</v>
      </c>
      <c r="H1155" s="95" t="s">
        <v>200</v>
      </c>
      <c r="I1155" s="95"/>
      <c r="J1155" s="95" t="s">
        <v>130</v>
      </c>
      <c r="K1155" s="95" t="b">
        <v>0</v>
      </c>
      <c r="L1155" s="95">
        <v>0</v>
      </c>
      <c r="M1155" s="96">
        <v>2025</v>
      </c>
      <c r="N1155" s="97">
        <v>2829575.54</v>
      </c>
      <c r="O1155" s="98">
        <v>46020</v>
      </c>
      <c r="P1155" s="98">
        <v>46020</v>
      </c>
      <c r="Q1155" s="99">
        <v>0</v>
      </c>
    </row>
    <row r="1156" spans="1:17">
      <c r="A1156" s="7">
        <v>2025</v>
      </c>
      <c r="B1156" s="8" t="s">
        <v>434</v>
      </c>
      <c r="C1156" s="94" t="s">
        <v>435</v>
      </c>
      <c r="D1156" s="95">
        <v>3215062</v>
      </c>
      <c r="E1156" s="95">
        <v>2</v>
      </c>
      <c r="F1156" s="95"/>
      <c r="G1156" s="95">
        <v>22110</v>
      </c>
      <c r="H1156" s="95" t="s">
        <v>200</v>
      </c>
      <c r="I1156" s="95"/>
      <c r="J1156" s="95" t="s">
        <v>130</v>
      </c>
      <c r="K1156" s="95" t="b">
        <v>0</v>
      </c>
      <c r="L1156" s="95">
        <v>13</v>
      </c>
      <c r="M1156" s="96">
        <v>2038</v>
      </c>
      <c r="N1156" s="97">
        <v>0</v>
      </c>
      <c r="O1156" s="98">
        <v>46020</v>
      </c>
      <c r="P1156" s="98">
        <v>46020</v>
      </c>
      <c r="Q1156" s="99">
        <v>0</v>
      </c>
    </row>
    <row r="1157" spans="1:17">
      <c r="A1157" s="7">
        <v>2025</v>
      </c>
      <c r="B1157" s="8" t="s">
        <v>434</v>
      </c>
      <c r="C1157" s="94" t="s">
        <v>435</v>
      </c>
      <c r="D1157" s="95">
        <v>3215062</v>
      </c>
      <c r="E1157" s="95">
        <v>2</v>
      </c>
      <c r="F1157" s="95"/>
      <c r="G1157" s="95">
        <v>22110</v>
      </c>
      <c r="H1157" s="95" t="s">
        <v>200</v>
      </c>
      <c r="I1157" s="95"/>
      <c r="J1157" s="95" t="s">
        <v>130</v>
      </c>
      <c r="K1157" s="95" t="b">
        <v>0</v>
      </c>
      <c r="L1157" s="95">
        <v>2</v>
      </c>
      <c r="M1157" s="96">
        <v>2027</v>
      </c>
      <c r="N1157" s="97">
        <v>0</v>
      </c>
      <c r="O1157" s="98">
        <v>46020</v>
      </c>
      <c r="P1157" s="98">
        <v>46020</v>
      </c>
      <c r="Q1157" s="99">
        <v>0</v>
      </c>
    </row>
    <row r="1158" spans="1:17">
      <c r="A1158" s="7">
        <v>2025</v>
      </c>
      <c r="B1158" s="8" t="s">
        <v>434</v>
      </c>
      <c r="C1158" s="94" t="s">
        <v>435</v>
      </c>
      <c r="D1158" s="95">
        <v>3215062</v>
      </c>
      <c r="E1158" s="95">
        <v>2</v>
      </c>
      <c r="F1158" s="95"/>
      <c r="G1158" s="95">
        <v>22110</v>
      </c>
      <c r="H1158" s="95" t="s">
        <v>200</v>
      </c>
      <c r="I1158" s="95"/>
      <c r="J1158" s="95" t="s">
        <v>130</v>
      </c>
      <c r="K1158" s="95" t="b">
        <v>0</v>
      </c>
      <c r="L1158" s="95">
        <v>1</v>
      </c>
      <c r="M1158" s="96">
        <v>2026</v>
      </c>
      <c r="N1158" s="97">
        <v>0</v>
      </c>
      <c r="O1158" s="98">
        <v>46020</v>
      </c>
      <c r="P1158" s="98">
        <v>46020</v>
      </c>
      <c r="Q1158" s="99">
        <v>0</v>
      </c>
    </row>
    <row r="1159" spans="1:17">
      <c r="A1159" s="7">
        <v>2025</v>
      </c>
      <c r="B1159" s="8" t="s">
        <v>434</v>
      </c>
      <c r="C1159" s="94" t="s">
        <v>435</v>
      </c>
      <c r="D1159" s="95">
        <v>3215062</v>
      </c>
      <c r="E1159" s="95">
        <v>2</v>
      </c>
      <c r="F1159" s="95"/>
      <c r="G1159" s="95">
        <v>22110</v>
      </c>
      <c r="H1159" s="95" t="s">
        <v>200</v>
      </c>
      <c r="I1159" s="95"/>
      <c r="J1159" s="95" t="s">
        <v>130</v>
      </c>
      <c r="K1159" s="95" t="b">
        <v>0</v>
      </c>
      <c r="L1159" s="95">
        <v>7</v>
      </c>
      <c r="M1159" s="96">
        <v>2032</v>
      </c>
      <c r="N1159" s="97">
        <v>0</v>
      </c>
      <c r="O1159" s="98">
        <v>46020</v>
      </c>
      <c r="P1159" s="98">
        <v>46020</v>
      </c>
      <c r="Q1159" s="99">
        <v>0</v>
      </c>
    </row>
    <row r="1160" spans="1:17">
      <c r="A1160" s="7">
        <v>2025</v>
      </c>
      <c r="B1160" s="8" t="s">
        <v>434</v>
      </c>
      <c r="C1160" s="94" t="s">
        <v>435</v>
      </c>
      <c r="D1160" s="95">
        <v>3215062</v>
      </c>
      <c r="E1160" s="95">
        <v>2</v>
      </c>
      <c r="F1160" s="95"/>
      <c r="G1160" s="95">
        <v>22110</v>
      </c>
      <c r="H1160" s="95" t="s">
        <v>200</v>
      </c>
      <c r="I1160" s="95"/>
      <c r="J1160" s="95" t="s">
        <v>130</v>
      </c>
      <c r="K1160" s="95" t="b">
        <v>0</v>
      </c>
      <c r="L1160" s="95">
        <v>4</v>
      </c>
      <c r="M1160" s="96">
        <v>2029</v>
      </c>
      <c r="N1160" s="97">
        <v>0</v>
      </c>
      <c r="O1160" s="98">
        <v>46020</v>
      </c>
      <c r="P1160" s="98">
        <v>46020</v>
      </c>
      <c r="Q1160" s="99">
        <v>0</v>
      </c>
    </row>
    <row r="1161" spans="1:17">
      <c r="A1161" s="7">
        <v>2025</v>
      </c>
      <c r="B1161" s="8" t="s">
        <v>434</v>
      </c>
      <c r="C1161" s="94" t="s">
        <v>435</v>
      </c>
      <c r="D1161" s="95">
        <v>3215062</v>
      </c>
      <c r="E1161" s="95">
        <v>2</v>
      </c>
      <c r="F1161" s="95"/>
      <c r="G1161" s="95">
        <v>22110</v>
      </c>
      <c r="H1161" s="95" t="s">
        <v>200</v>
      </c>
      <c r="I1161" s="95"/>
      <c r="J1161" s="95" t="s">
        <v>130</v>
      </c>
      <c r="K1161" s="95" t="b">
        <v>0</v>
      </c>
      <c r="L1161" s="95">
        <v>12</v>
      </c>
      <c r="M1161" s="96">
        <v>2037</v>
      </c>
      <c r="N1161" s="97">
        <v>0</v>
      </c>
      <c r="O1161" s="98">
        <v>46020</v>
      </c>
      <c r="P1161" s="98">
        <v>46020</v>
      </c>
      <c r="Q1161" s="99">
        <v>0</v>
      </c>
    </row>
    <row r="1162" spans="1:17">
      <c r="A1162" s="7">
        <v>2025</v>
      </c>
      <c r="B1162" s="8" t="s">
        <v>434</v>
      </c>
      <c r="C1162" s="94" t="s">
        <v>435</v>
      </c>
      <c r="D1162" s="95">
        <v>3215062</v>
      </c>
      <c r="E1162" s="95">
        <v>2</v>
      </c>
      <c r="F1162" s="95"/>
      <c r="G1162" s="95">
        <v>22110</v>
      </c>
      <c r="H1162" s="95" t="s">
        <v>200</v>
      </c>
      <c r="I1162" s="95"/>
      <c r="J1162" s="95" t="s">
        <v>130</v>
      </c>
      <c r="K1162" s="95" t="b">
        <v>0</v>
      </c>
      <c r="L1162" s="95">
        <v>9</v>
      </c>
      <c r="M1162" s="96">
        <v>2034</v>
      </c>
      <c r="N1162" s="97">
        <v>0</v>
      </c>
      <c r="O1162" s="98">
        <v>46020</v>
      </c>
      <c r="P1162" s="98">
        <v>46020</v>
      </c>
      <c r="Q1162" s="99">
        <v>0</v>
      </c>
    </row>
    <row r="1163" spans="1:17">
      <c r="A1163" s="7">
        <v>2025</v>
      </c>
      <c r="B1163" s="8" t="s">
        <v>434</v>
      </c>
      <c r="C1163" s="94" t="s">
        <v>435</v>
      </c>
      <c r="D1163" s="95">
        <v>3215062</v>
      </c>
      <c r="E1163" s="95">
        <v>2</v>
      </c>
      <c r="F1163" s="95"/>
      <c r="G1163" s="95">
        <v>22110</v>
      </c>
      <c r="H1163" s="95" t="s">
        <v>200</v>
      </c>
      <c r="I1163" s="95"/>
      <c r="J1163" s="95" t="s">
        <v>130</v>
      </c>
      <c r="K1163" s="95" t="b">
        <v>0</v>
      </c>
      <c r="L1163" s="95">
        <v>8</v>
      </c>
      <c r="M1163" s="96">
        <v>2033</v>
      </c>
      <c r="N1163" s="97">
        <v>0</v>
      </c>
      <c r="O1163" s="98">
        <v>46020</v>
      </c>
      <c r="P1163" s="98">
        <v>46020</v>
      </c>
      <c r="Q1163" s="99">
        <v>0</v>
      </c>
    </row>
    <row r="1164" spans="1:17">
      <c r="A1164" s="7">
        <v>2025</v>
      </c>
      <c r="B1164" s="8" t="s">
        <v>434</v>
      </c>
      <c r="C1164" s="94" t="s">
        <v>435</v>
      </c>
      <c r="D1164" s="95">
        <v>3215062</v>
      </c>
      <c r="E1164" s="95">
        <v>2</v>
      </c>
      <c r="F1164" s="95"/>
      <c r="G1164" s="95">
        <v>22110</v>
      </c>
      <c r="H1164" s="95" t="s">
        <v>200</v>
      </c>
      <c r="I1164" s="95"/>
      <c r="J1164" s="95" t="s">
        <v>130</v>
      </c>
      <c r="K1164" s="95" t="b">
        <v>0</v>
      </c>
      <c r="L1164" s="95">
        <v>5</v>
      </c>
      <c r="M1164" s="96">
        <v>2030</v>
      </c>
      <c r="N1164" s="97">
        <v>0</v>
      </c>
      <c r="O1164" s="98">
        <v>46020</v>
      </c>
      <c r="P1164" s="98">
        <v>46020</v>
      </c>
      <c r="Q1164" s="99">
        <v>0</v>
      </c>
    </row>
    <row r="1165" spans="1:17">
      <c r="A1165" s="7">
        <v>2025</v>
      </c>
      <c r="B1165" s="8" t="s">
        <v>434</v>
      </c>
      <c r="C1165" s="94" t="s">
        <v>435</v>
      </c>
      <c r="D1165" s="95">
        <v>3215062</v>
      </c>
      <c r="E1165" s="95">
        <v>2</v>
      </c>
      <c r="F1165" s="95"/>
      <c r="G1165" s="95">
        <v>22110</v>
      </c>
      <c r="H1165" s="95" t="s">
        <v>200</v>
      </c>
      <c r="I1165" s="95"/>
      <c r="J1165" s="95" t="s">
        <v>130</v>
      </c>
      <c r="K1165" s="95" t="b">
        <v>0</v>
      </c>
      <c r="L1165" s="95">
        <v>10</v>
      </c>
      <c r="M1165" s="96">
        <v>2035</v>
      </c>
      <c r="N1165" s="97">
        <v>0</v>
      </c>
      <c r="O1165" s="98">
        <v>46020</v>
      </c>
      <c r="P1165" s="98">
        <v>46020</v>
      </c>
      <c r="Q1165" s="99">
        <v>0</v>
      </c>
    </row>
    <row r="1166" spans="1:17">
      <c r="A1166" s="7">
        <v>2025</v>
      </c>
      <c r="B1166" s="8" t="s">
        <v>434</v>
      </c>
      <c r="C1166" s="94" t="s">
        <v>435</v>
      </c>
      <c r="D1166" s="95">
        <v>3215062</v>
      </c>
      <c r="E1166" s="95">
        <v>2</v>
      </c>
      <c r="F1166" s="95"/>
      <c r="G1166" s="95">
        <v>22110</v>
      </c>
      <c r="H1166" s="95" t="s">
        <v>200</v>
      </c>
      <c r="I1166" s="95"/>
      <c r="J1166" s="95" t="s">
        <v>130</v>
      </c>
      <c r="K1166" s="95" t="b">
        <v>0</v>
      </c>
      <c r="L1166" s="95">
        <v>3</v>
      </c>
      <c r="M1166" s="96">
        <v>2028</v>
      </c>
      <c r="N1166" s="97">
        <v>0</v>
      </c>
      <c r="O1166" s="98">
        <v>46020</v>
      </c>
      <c r="P1166" s="98">
        <v>46020</v>
      </c>
      <c r="Q1166" s="99">
        <v>0</v>
      </c>
    </row>
    <row r="1167" spans="1:17">
      <c r="A1167" s="7">
        <v>2025</v>
      </c>
      <c r="B1167" s="8" t="s">
        <v>434</v>
      </c>
      <c r="C1167" s="94" t="s">
        <v>435</v>
      </c>
      <c r="D1167" s="95">
        <v>3215062</v>
      </c>
      <c r="E1167" s="95">
        <v>2</v>
      </c>
      <c r="F1167" s="95"/>
      <c r="G1167" s="95">
        <v>22110</v>
      </c>
      <c r="H1167" s="95" t="s">
        <v>200</v>
      </c>
      <c r="I1167" s="95"/>
      <c r="J1167" s="95" t="s">
        <v>130</v>
      </c>
      <c r="K1167" s="95" t="b">
        <v>0</v>
      </c>
      <c r="L1167" s="95">
        <v>6</v>
      </c>
      <c r="M1167" s="96">
        <v>2031</v>
      </c>
      <c r="N1167" s="97">
        <v>0</v>
      </c>
      <c r="O1167" s="98">
        <v>46020</v>
      </c>
      <c r="P1167" s="98">
        <v>46020</v>
      </c>
      <c r="Q1167" s="99">
        <v>0</v>
      </c>
    </row>
    <row r="1168" spans="1:17">
      <c r="A1168" s="7">
        <v>2025</v>
      </c>
      <c r="B1168" s="8" t="s">
        <v>434</v>
      </c>
      <c r="C1168" s="94" t="s">
        <v>435</v>
      </c>
      <c r="D1168" s="95">
        <v>3215062</v>
      </c>
      <c r="E1168" s="95">
        <v>2</v>
      </c>
      <c r="F1168" s="95"/>
      <c r="G1168" s="95">
        <v>22110</v>
      </c>
      <c r="H1168" s="95" t="s">
        <v>200</v>
      </c>
      <c r="I1168" s="95"/>
      <c r="J1168" s="95" t="s">
        <v>130</v>
      </c>
      <c r="K1168" s="95" t="b">
        <v>0</v>
      </c>
      <c r="L1168" s="95">
        <v>11</v>
      </c>
      <c r="M1168" s="96">
        <v>2036</v>
      </c>
      <c r="N1168" s="97">
        <v>0</v>
      </c>
      <c r="O1168" s="98">
        <v>46020</v>
      </c>
      <c r="P1168" s="98">
        <v>46020</v>
      </c>
      <c r="Q1168" s="99">
        <v>0</v>
      </c>
    </row>
    <row r="1169" spans="1:17">
      <c r="A1169" s="7">
        <v>2025</v>
      </c>
      <c r="B1169" s="8" t="s">
        <v>434</v>
      </c>
      <c r="C1169" s="94" t="s">
        <v>435</v>
      </c>
      <c r="D1169" s="95">
        <v>3215062</v>
      </c>
      <c r="E1169" s="95">
        <v>2</v>
      </c>
      <c r="F1169" s="95"/>
      <c r="G1169" s="95">
        <v>102000</v>
      </c>
      <c r="H1169" s="95">
        <v>10.199999999999999</v>
      </c>
      <c r="I1169" s="95"/>
      <c r="J1169" s="95" t="s">
        <v>176</v>
      </c>
      <c r="K1169" s="95" t="b">
        <v>1</v>
      </c>
      <c r="L1169" s="95">
        <v>12</v>
      </c>
      <c r="M1169" s="96">
        <v>2037</v>
      </c>
      <c r="N1169" s="97">
        <v>0</v>
      </c>
      <c r="O1169" s="98">
        <v>46020</v>
      </c>
      <c r="P1169" s="98">
        <v>46020</v>
      </c>
      <c r="Q1169" s="99">
        <v>0</v>
      </c>
    </row>
    <row r="1170" spans="1:17">
      <c r="A1170" s="7">
        <v>2025</v>
      </c>
      <c r="B1170" s="8" t="s">
        <v>434</v>
      </c>
      <c r="C1170" s="94" t="s">
        <v>435</v>
      </c>
      <c r="D1170" s="95">
        <v>3215062</v>
      </c>
      <c r="E1170" s="95">
        <v>2</v>
      </c>
      <c r="F1170" s="95"/>
      <c r="G1170" s="95">
        <v>102000</v>
      </c>
      <c r="H1170" s="95">
        <v>10.199999999999999</v>
      </c>
      <c r="I1170" s="95"/>
      <c r="J1170" s="95" t="s">
        <v>176</v>
      </c>
      <c r="K1170" s="95" t="b">
        <v>1</v>
      </c>
      <c r="L1170" s="95">
        <v>10</v>
      </c>
      <c r="M1170" s="96">
        <v>2035</v>
      </c>
      <c r="N1170" s="97">
        <v>0</v>
      </c>
      <c r="O1170" s="98">
        <v>46020</v>
      </c>
      <c r="P1170" s="98">
        <v>46020</v>
      </c>
      <c r="Q1170" s="99">
        <v>0</v>
      </c>
    </row>
    <row r="1171" spans="1:17">
      <c r="A1171" s="7">
        <v>2025</v>
      </c>
      <c r="B1171" s="8" t="s">
        <v>434</v>
      </c>
      <c r="C1171" s="94" t="s">
        <v>435</v>
      </c>
      <c r="D1171" s="95">
        <v>3215062</v>
      </c>
      <c r="E1171" s="95">
        <v>2</v>
      </c>
      <c r="F1171" s="95"/>
      <c r="G1171" s="95">
        <v>102000</v>
      </c>
      <c r="H1171" s="95">
        <v>10.199999999999999</v>
      </c>
      <c r="I1171" s="95"/>
      <c r="J1171" s="95" t="s">
        <v>176</v>
      </c>
      <c r="K1171" s="95" t="b">
        <v>1</v>
      </c>
      <c r="L1171" s="95">
        <v>0</v>
      </c>
      <c r="M1171" s="96">
        <v>2025</v>
      </c>
      <c r="N1171" s="97">
        <v>0</v>
      </c>
      <c r="O1171" s="98">
        <v>46020</v>
      </c>
      <c r="P1171" s="98">
        <v>46020</v>
      </c>
      <c r="Q1171" s="99">
        <v>0</v>
      </c>
    </row>
    <row r="1172" spans="1:17">
      <c r="A1172" s="7">
        <v>2025</v>
      </c>
      <c r="B1172" s="8" t="s">
        <v>434</v>
      </c>
      <c r="C1172" s="94" t="s">
        <v>435</v>
      </c>
      <c r="D1172" s="95">
        <v>3215062</v>
      </c>
      <c r="E1172" s="95">
        <v>2</v>
      </c>
      <c r="F1172" s="95"/>
      <c r="G1172" s="95">
        <v>102000</v>
      </c>
      <c r="H1172" s="95">
        <v>10.199999999999999</v>
      </c>
      <c r="I1172" s="95"/>
      <c r="J1172" s="95" t="s">
        <v>176</v>
      </c>
      <c r="K1172" s="95" t="b">
        <v>1</v>
      </c>
      <c r="L1172" s="95">
        <v>5</v>
      </c>
      <c r="M1172" s="96">
        <v>2030</v>
      </c>
      <c r="N1172" s="97">
        <v>0</v>
      </c>
      <c r="O1172" s="98">
        <v>46020</v>
      </c>
      <c r="P1172" s="98">
        <v>46020</v>
      </c>
      <c r="Q1172" s="99">
        <v>0</v>
      </c>
    </row>
    <row r="1173" spans="1:17">
      <c r="A1173" s="7">
        <v>2025</v>
      </c>
      <c r="B1173" s="8" t="s">
        <v>434</v>
      </c>
      <c r="C1173" s="94" t="s">
        <v>435</v>
      </c>
      <c r="D1173" s="95">
        <v>3215062</v>
      </c>
      <c r="E1173" s="95">
        <v>2</v>
      </c>
      <c r="F1173" s="95"/>
      <c r="G1173" s="95">
        <v>102000</v>
      </c>
      <c r="H1173" s="95">
        <v>10.199999999999999</v>
      </c>
      <c r="I1173" s="95"/>
      <c r="J1173" s="95" t="s">
        <v>176</v>
      </c>
      <c r="K1173" s="95" t="b">
        <v>1</v>
      </c>
      <c r="L1173" s="95">
        <v>7</v>
      </c>
      <c r="M1173" s="96">
        <v>2032</v>
      </c>
      <c r="N1173" s="97">
        <v>0</v>
      </c>
      <c r="O1173" s="98">
        <v>46020</v>
      </c>
      <c r="P1173" s="98">
        <v>46020</v>
      </c>
      <c r="Q1173" s="99">
        <v>0</v>
      </c>
    </row>
    <row r="1174" spans="1:17">
      <c r="A1174" s="7">
        <v>2025</v>
      </c>
      <c r="B1174" s="8" t="s">
        <v>434</v>
      </c>
      <c r="C1174" s="94" t="s">
        <v>435</v>
      </c>
      <c r="D1174" s="95">
        <v>3215062</v>
      </c>
      <c r="E1174" s="95">
        <v>2</v>
      </c>
      <c r="F1174" s="95"/>
      <c r="G1174" s="95">
        <v>102000</v>
      </c>
      <c r="H1174" s="95">
        <v>10.199999999999999</v>
      </c>
      <c r="I1174" s="95"/>
      <c r="J1174" s="95" t="s">
        <v>176</v>
      </c>
      <c r="K1174" s="95" t="b">
        <v>1</v>
      </c>
      <c r="L1174" s="95">
        <v>4</v>
      </c>
      <c r="M1174" s="96">
        <v>2029</v>
      </c>
      <c r="N1174" s="97">
        <v>0</v>
      </c>
      <c r="O1174" s="98">
        <v>46020</v>
      </c>
      <c r="P1174" s="98">
        <v>46020</v>
      </c>
      <c r="Q1174" s="99">
        <v>0</v>
      </c>
    </row>
    <row r="1175" spans="1:17">
      <c r="A1175" s="7">
        <v>2025</v>
      </c>
      <c r="B1175" s="8" t="s">
        <v>434</v>
      </c>
      <c r="C1175" s="94" t="s">
        <v>435</v>
      </c>
      <c r="D1175" s="95">
        <v>3215062</v>
      </c>
      <c r="E1175" s="95">
        <v>2</v>
      </c>
      <c r="F1175" s="95"/>
      <c r="G1175" s="95">
        <v>102000</v>
      </c>
      <c r="H1175" s="95">
        <v>10.199999999999999</v>
      </c>
      <c r="I1175" s="95"/>
      <c r="J1175" s="95" t="s">
        <v>176</v>
      </c>
      <c r="K1175" s="95" t="b">
        <v>1</v>
      </c>
      <c r="L1175" s="95">
        <v>6</v>
      </c>
      <c r="M1175" s="96">
        <v>2031</v>
      </c>
      <c r="N1175" s="97">
        <v>0</v>
      </c>
      <c r="O1175" s="98">
        <v>46020</v>
      </c>
      <c r="P1175" s="98">
        <v>46020</v>
      </c>
      <c r="Q1175" s="99">
        <v>0</v>
      </c>
    </row>
    <row r="1176" spans="1:17">
      <c r="A1176" s="7">
        <v>2025</v>
      </c>
      <c r="B1176" s="8" t="s">
        <v>434</v>
      </c>
      <c r="C1176" s="94" t="s">
        <v>435</v>
      </c>
      <c r="D1176" s="95">
        <v>3215062</v>
      </c>
      <c r="E1176" s="95">
        <v>2</v>
      </c>
      <c r="F1176" s="95"/>
      <c r="G1176" s="95">
        <v>102000</v>
      </c>
      <c r="H1176" s="95">
        <v>10.199999999999999</v>
      </c>
      <c r="I1176" s="95"/>
      <c r="J1176" s="95" t="s">
        <v>176</v>
      </c>
      <c r="K1176" s="95" t="b">
        <v>1</v>
      </c>
      <c r="L1176" s="95">
        <v>2</v>
      </c>
      <c r="M1176" s="96">
        <v>2027</v>
      </c>
      <c r="N1176" s="97">
        <v>0</v>
      </c>
      <c r="O1176" s="98">
        <v>46020</v>
      </c>
      <c r="P1176" s="98">
        <v>46020</v>
      </c>
      <c r="Q1176" s="99">
        <v>0</v>
      </c>
    </row>
    <row r="1177" spans="1:17">
      <c r="A1177" s="7">
        <v>2025</v>
      </c>
      <c r="B1177" s="8" t="s">
        <v>434</v>
      </c>
      <c r="C1177" s="94" t="s">
        <v>435</v>
      </c>
      <c r="D1177" s="95">
        <v>3215062</v>
      </c>
      <c r="E1177" s="95">
        <v>2</v>
      </c>
      <c r="F1177" s="95"/>
      <c r="G1177" s="95">
        <v>102000</v>
      </c>
      <c r="H1177" s="95">
        <v>10.199999999999999</v>
      </c>
      <c r="I1177" s="95"/>
      <c r="J1177" s="95" t="s">
        <v>176</v>
      </c>
      <c r="K1177" s="95" t="b">
        <v>1</v>
      </c>
      <c r="L1177" s="95">
        <v>8</v>
      </c>
      <c r="M1177" s="96">
        <v>2033</v>
      </c>
      <c r="N1177" s="97">
        <v>0</v>
      </c>
      <c r="O1177" s="98">
        <v>46020</v>
      </c>
      <c r="P1177" s="98">
        <v>46020</v>
      </c>
      <c r="Q1177" s="99">
        <v>0</v>
      </c>
    </row>
    <row r="1178" spans="1:17">
      <c r="A1178" s="7">
        <v>2025</v>
      </c>
      <c r="B1178" s="8" t="s">
        <v>434</v>
      </c>
      <c r="C1178" s="94" t="s">
        <v>435</v>
      </c>
      <c r="D1178" s="95">
        <v>3215062</v>
      </c>
      <c r="E1178" s="95">
        <v>2</v>
      </c>
      <c r="F1178" s="95"/>
      <c r="G1178" s="95">
        <v>102000</v>
      </c>
      <c r="H1178" s="95">
        <v>10.199999999999999</v>
      </c>
      <c r="I1178" s="95"/>
      <c r="J1178" s="95" t="s">
        <v>176</v>
      </c>
      <c r="K1178" s="95" t="b">
        <v>1</v>
      </c>
      <c r="L1178" s="95">
        <v>3</v>
      </c>
      <c r="M1178" s="96">
        <v>2028</v>
      </c>
      <c r="N1178" s="97">
        <v>0</v>
      </c>
      <c r="O1178" s="98">
        <v>46020</v>
      </c>
      <c r="P1178" s="98">
        <v>46020</v>
      </c>
      <c r="Q1178" s="99">
        <v>0</v>
      </c>
    </row>
    <row r="1179" spans="1:17">
      <c r="A1179" s="7">
        <v>2025</v>
      </c>
      <c r="B1179" s="8" t="s">
        <v>434</v>
      </c>
      <c r="C1179" s="94" t="s">
        <v>435</v>
      </c>
      <c r="D1179" s="95">
        <v>3215062</v>
      </c>
      <c r="E1179" s="95">
        <v>2</v>
      </c>
      <c r="F1179" s="95"/>
      <c r="G1179" s="95">
        <v>102000</v>
      </c>
      <c r="H1179" s="95">
        <v>10.199999999999999</v>
      </c>
      <c r="I1179" s="95"/>
      <c r="J1179" s="95" t="s">
        <v>176</v>
      </c>
      <c r="K1179" s="95" t="b">
        <v>1</v>
      </c>
      <c r="L1179" s="95">
        <v>9</v>
      </c>
      <c r="M1179" s="96">
        <v>2034</v>
      </c>
      <c r="N1179" s="97">
        <v>0</v>
      </c>
      <c r="O1179" s="98">
        <v>46020</v>
      </c>
      <c r="P1179" s="98">
        <v>46020</v>
      </c>
      <c r="Q1179" s="99">
        <v>0</v>
      </c>
    </row>
    <row r="1180" spans="1:17">
      <c r="A1180" s="7">
        <v>2025</v>
      </c>
      <c r="B1180" s="8" t="s">
        <v>434</v>
      </c>
      <c r="C1180" s="94" t="s">
        <v>435</v>
      </c>
      <c r="D1180" s="95">
        <v>3215062</v>
      </c>
      <c r="E1180" s="95">
        <v>2</v>
      </c>
      <c r="F1180" s="95"/>
      <c r="G1180" s="95">
        <v>102000</v>
      </c>
      <c r="H1180" s="95">
        <v>10.199999999999999</v>
      </c>
      <c r="I1180" s="95"/>
      <c r="J1180" s="95" t="s">
        <v>176</v>
      </c>
      <c r="K1180" s="95" t="b">
        <v>1</v>
      </c>
      <c r="L1180" s="95">
        <v>11</v>
      </c>
      <c r="M1180" s="96">
        <v>2036</v>
      </c>
      <c r="N1180" s="97">
        <v>0</v>
      </c>
      <c r="O1180" s="98">
        <v>46020</v>
      </c>
      <c r="P1180" s="98">
        <v>46020</v>
      </c>
      <c r="Q1180" s="99">
        <v>0</v>
      </c>
    </row>
    <row r="1181" spans="1:17">
      <c r="A1181" s="7">
        <v>2025</v>
      </c>
      <c r="B1181" s="8" t="s">
        <v>434</v>
      </c>
      <c r="C1181" s="94" t="s">
        <v>435</v>
      </c>
      <c r="D1181" s="95">
        <v>3215062</v>
      </c>
      <c r="E1181" s="95">
        <v>2</v>
      </c>
      <c r="F1181" s="95"/>
      <c r="G1181" s="95">
        <v>102000</v>
      </c>
      <c r="H1181" s="95">
        <v>10.199999999999999</v>
      </c>
      <c r="I1181" s="95"/>
      <c r="J1181" s="95" t="s">
        <v>176</v>
      </c>
      <c r="K1181" s="95" t="b">
        <v>1</v>
      </c>
      <c r="L1181" s="95">
        <v>13</v>
      </c>
      <c r="M1181" s="96">
        <v>2038</v>
      </c>
      <c r="N1181" s="97">
        <v>0</v>
      </c>
      <c r="O1181" s="98">
        <v>46020</v>
      </c>
      <c r="P1181" s="98">
        <v>46020</v>
      </c>
      <c r="Q1181" s="99">
        <v>0</v>
      </c>
    </row>
    <row r="1182" spans="1:17">
      <c r="A1182" s="7">
        <v>2025</v>
      </c>
      <c r="B1182" s="8" t="s">
        <v>434</v>
      </c>
      <c r="C1182" s="94" t="s">
        <v>435</v>
      </c>
      <c r="D1182" s="95">
        <v>3215062</v>
      </c>
      <c r="E1182" s="95">
        <v>2</v>
      </c>
      <c r="F1182" s="95"/>
      <c r="G1182" s="95">
        <v>102000</v>
      </c>
      <c r="H1182" s="95">
        <v>10.199999999999999</v>
      </c>
      <c r="I1182" s="95"/>
      <c r="J1182" s="95" t="s">
        <v>176</v>
      </c>
      <c r="K1182" s="95" t="b">
        <v>1</v>
      </c>
      <c r="L1182" s="95">
        <v>1</v>
      </c>
      <c r="M1182" s="96">
        <v>2026</v>
      </c>
      <c r="N1182" s="97">
        <v>0</v>
      </c>
      <c r="O1182" s="98">
        <v>46020</v>
      </c>
      <c r="P1182" s="98">
        <v>46020</v>
      </c>
      <c r="Q1182" s="99">
        <v>0</v>
      </c>
    </row>
    <row r="1183" spans="1:17">
      <c r="A1183" s="7">
        <v>2025</v>
      </c>
      <c r="B1183" s="8" t="s">
        <v>434</v>
      </c>
      <c r="C1183" s="94" t="s">
        <v>435</v>
      </c>
      <c r="D1183" s="95">
        <v>3215062</v>
      </c>
      <c r="E1183" s="95">
        <v>2</v>
      </c>
      <c r="F1183" s="95"/>
      <c r="G1183" s="95">
        <v>92110</v>
      </c>
      <c r="H1183" s="95" t="s">
        <v>214</v>
      </c>
      <c r="I1183" s="95"/>
      <c r="J1183" s="95" t="s">
        <v>164</v>
      </c>
      <c r="K1183" s="95" t="b">
        <v>0</v>
      </c>
      <c r="L1183" s="95">
        <v>10</v>
      </c>
      <c r="M1183" s="96">
        <v>2035</v>
      </c>
      <c r="N1183" s="97">
        <v>0</v>
      </c>
      <c r="O1183" s="98">
        <v>46020</v>
      </c>
      <c r="P1183" s="98">
        <v>46020</v>
      </c>
      <c r="Q1183" s="99">
        <v>0</v>
      </c>
    </row>
    <row r="1184" spans="1:17">
      <c r="A1184" s="7">
        <v>2025</v>
      </c>
      <c r="B1184" s="8" t="s">
        <v>434</v>
      </c>
      <c r="C1184" s="94" t="s">
        <v>435</v>
      </c>
      <c r="D1184" s="95">
        <v>3215062</v>
      </c>
      <c r="E1184" s="95">
        <v>2</v>
      </c>
      <c r="F1184" s="95"/>
      <c r="G1184" s="95">
        <v>92110</v>
      </c>
      <c r="H1184" s="95" t="s">
        <v>214</v>
      </c>
      <c r="I1184" s="95"/>
      <c r="J1184" s="95" t="s">
        <v>164</v>
      </c>
      <c r="K1184" s="95" t="b">
        <v>0</v>
      </c>
      <c r="L1184" s="95">
        <v>12</v>
      </c>
      <c r="M1184" s="96">
        <v>2037</v>
      </c>
      <c r="N1184" s="97">
        <v>0</v>
      </c>
      <c r="O1184" s="98">
        <v>46020</v>
      </c>
      <c r="P1184" s="98">
        <v>46020</v>
      </c>
      <c r="Q1184" s="99">
        <v>0</v>
      </c>
    </row>
    <row r="1185" spans="1:17">
      <c r="A1185" s="7">
        <v>2025</v>
      </c>
      <c r="B1185" s="8" t="s">
        <v>434</v>
      </c>
      <c r="C1185" s="94" t="s">
        <v>435</v>
      </c>
      <c r="D1185" s="95">
        <v>3215062</v>
      </c>
      <c r="E1185" s="95">
        <v>2</v>
      </c>
      <c r="F1185" s="95"/>
      <c r="G1185" s="95">
        <v>92110</v>
      </c>
      <c r="H1185" s="95" t="s">
        <v>214</v>
      </c>
      <c r="I1185" s="95"/>
      <c r="J1185" s="95" t="s">
        <v>164</v>
      </c>
      <c r="K1185" s="95" t="b">
        <v>0</v>
      </c>
      <c r="L1185" s="95">
        <v>13</v>
      </c>
      <c r="M1185" s="96">
        <v>2038</v>
      </c>
      <c r="N1185" s="97">
        <v>0</v>
      </c>
      <c r="O1185" s="98">
        <v>46020</v>
      </c>
      <c r="P1185" s="98">
        <v>46020</v>
      </c>
      <c r="Q1185" s="99">
        <v>0</v>
      </c>
    </row>
    <row r="1186" spans="1:17">
      <c r="A1186" s="7">
        <v>2025</v>
      </c>
      <c r="B1186" s="8" t="s">
        <v>434</v>
      </c>
      <c r="C1186" s="94" t="s">
        <v>435</v>
      </c>
      <c r="D1186" s="95">
        <v>3215062</v>
      </c>
      <c r="E1186" s="95">
        <v>2</v>
      </c>
      <c r="F1186" s="95"/>
      <c r="G1186" s="95">
        <v>92110</v>
      </c>
      <c r="H1186" s="95" t="s">
        <v>214</v>
      </c>
      <c r="I1186" s="95"/>
      <c r="J1186" s="95" t="s">
        <v>164</v>
      </c>
      <c r="K1186" s="95" t="b">
        <v>0</v>
      </c>
      <c r="L1186" s="95">
        <v>8</v>
      </c>
      <c r="M1186" s="96">
        <v>2033</v>
      </c>
      <c r="N1186" s="97">
        <v>0</v>
      </c>
      <c r="O1186" s="98">
        <v>46020</v>
      </c>
      <c r="P1186" s="98">
        <v>46020</v>
      </c>
      <c r="Q1186" s="99">
        <v>0</v>
      </c>
    </row>
    <row r="1187" spans="1:17">
      <c r="A1187" s="7">
        <v>2025</v>
      </c>
      <c r="B1187" s="8" t="s">
        <v>434</v>
      </c>
      <c r="C1187" s="94" t="s">
        <v>435</v>
      </c>
      <c r="D1187" s="95">
        <v>3215062</v>
      </c>
      <c r="E1187" s="95">
        <v>2</v>
      </c>
      <c r="F1187" s="95"/>
      <c r="G1187" s="95">
        <v>92110</v>
      </c>
      <c r="H1187" s="95" t="s">
        <v>214</v>
      </c>
      <c r="I1187" s="95"/>
      <c r="J1187" s="95" t="s">
        <v>164</v>
      </c>
      <c r="K1187" s="95" t="b">
        <v>0</v>
      </c>
      <c r="L1187" s="95">
        <v>3</v>
      </c>
      <c r="M1187" s="96">
        <v>2028</v>
      </c>
      <c r="N1187" s="97">
        <v>0</v>
      </c>
      <c r="O1187" s="98">
        <v>46020</v>
      </c>
      <c r="P1187" s="98">
        <v>46020</v>
      </c>
      <c r="Q1187" s="99">
        <v>0</v>
      </c>
    </row>
    <row r="1188" spans="1:17">
      <c r="A1188" s="7">
        <v>2025</v>
      </c>
      <c r="B1188" s="8" t="s">
        <v>434</v>
      </c>
      <c r="C1188" s="94" t="s">
        <v>435</v>
      </c>
      <c r="D1188" s="95">
        <v>3215062</v>
      </c>
      <c r="E1188" s="95">
        <v>2</v>
      </c>
      <c r="F1188" s="95"/>
      <c r="G1188" s="95">
        <v>92110</v>
      </c>
      <c r="H1188" s="95" t="s">
        <v>214</v>
      </c>
      <c r="I1188" s="95"/>
      <c r="J1188" s="95" t="s">
        <v>164</v>
      </c>
      <c r="K1188" s="95" t="b">
        <v>0</v>
      </c>
      <c r="L1188" s="95">
        <v>2</v>
      </c>
      <c r="M1188" s="96">
        <v>2027</v>
      </c>
      <c r="N1188" s="97">
        <v>1165072.99</v>
      </c>
      <c r="O1188" s="98">
        <v>46020</v>
      </c>
      <c r="P1188" s="98">
        <v>46020</v>
      </c>
      <c r="Q1188" s="99">
        <v>0</v>
      </c>
    </row>
    <row r="1189" spans="1:17">
      <c r="A1189" s="7">
        <v>2025</v>
      </c>
      <c r="B1189" s="8" t="s">
        <v>434</v>
      </c>
      <c r="C1189" s="94" t="s">
        <v>435</v>
      </c>
      <c r="D1189" s="95">
        <v>3215062</v>
      </c>
      <c r="E1189" s="95">
        <v>2</v>
      </c>
      <c r="F1189" s="95"/>
      <c r="G1189" s="95">
        <v>92110</v>
      </c>
      <c r="H1189" s="95" t="s">
        <v>214</v>
      </c>
      <c r="I1189" s="95"/>
      <c r="J1189" s="95" t="s">
        <v>164</v>
      </c>
      <c r="K1189" s="95" t="b">
        <v>0</v>
      </c>
      <c r="L1189" s="95">
        <v>11</v>
      </c>
      <c r="M1189" s="96">
        <v>2036</v>
      </c>
      <c r="N1189" s="97">
        <v>0</v>
      </c>
      <c r="O1189" s="98">
        <v>46020</v>
      </c>
      <c r="P1189" s="98">
        <v>46020</v>
      </c>
      <c r="Q1189" s="99">
        <v>0</v>
      </c>
    </row>
    <row r="1190" spans="1:17">
      <c r="A1190" s="7">
        <v>2025</v>
      </c>
      <c r="B1190" s="8" t="s">
        <v>434</v>
      </c>
      <c r="C1190" s="94" t="s">
        <v>435</v>
      </c>
      <c r="D1190" s="95">
        <v>3215062</v>
      </c>
      <c r="E1190" s="95">
        <v>2</v>
      </c>
      <c r="F1190" s="95"/>
      <c r="G1190" s="95">
        <v>92110</v>
      </c>
      <c r="H1190" s="95" t="s">
        <v>214</v>
      </c>
      <c r="I1190" s="95"/>
      <c r="J1190" s="95" t="s">
        <v>164</v>
      </c>
      <c r="K1190" s="95" t="b">
        <v>0</v>
      </c>
      <c r="L1190" s="95">
        <v>5</v>
      </c>
      <c r="M1190" s="96">
        <v>2030</v>
      </c>
      <c r="N1190" s="97">
        <v>0</v>
      </c>
      <c r="O1190" s="98">
        <v>46020</v>
      </c>
      <c r="P1190" s="98">
        <v>46020</v>
      </c>
      <c r="Q1190" s="99">
        <v>0</v>
      </c>
    </row>
    <row r="1191" spans="1:17">
      <c r="A1191" s="7">
        <v>2025</v>
      </c>
      <c r="B1191" s="8" t="s">
        <v>434</v>
      </c>
      <c r="C1191" s="94" t="s">
        <v>435</v>
      </c>
      <c r="D1191" s="95">
        <v>3215062</v>
      </c>
      <c r="E1191" s="95">
        <v>2</v>
      </c>
      <c r="F1191" s="95"/>
      <c r="G1191" s="95">
        <v>92110</v>
      </c>
      <c r="H1191" s="95" t="s">
        <v>214</v>
      </c>
      <c r="I1191" s="95"/>
      <c r="J1191" s="95" t="s">
        <v>164</v>
      </c>
      <c r="K1191" s="95" t="b">
        <v>0</v>
      </c>
      <c r="L1191" s="95">
        <v>6</v>
      </c>
      <c r="M1191" s="96">
        <v>2031</v>
      </c>
      <c r="N1191" s="97">
        <v>0</v>
      </c>
      <c r="O1191" s="98">
        <v>46020</v>
      </c>
      <c r="P1191" s="98">
        <v>46020</v>
      </c>
      <c r="Q1191" s="99">
        <v>0</v>
      </c>
    </row>
    <row r="1192" spans="1:17">
      <c r="A1192" s="7">
        <v>2025</v>
      </c>
      <c r="B1192" s="8" t="s">
        <v>434</v>
      </c>
      <c r="C1192" s="94" t="s">
        <v>435</v>
      </c>
      <c r="D1192" s="95">
        <v>3215062</v>
      </c>
      <c r="E1192" s="95">
        <v>2</v>
      </c>
      <c r="F1192" s="95"/>
      <c r="G1192" s="95">
        <v>92110</v>
      </c>
      <c r="H1192" s="95" t="s">
        <v>214</v>
      </c>
      <c r="I1192" s="95"/>
      <c r="J1192" s="95" t="s">
        <v>164</v>
      </c>
      <c r="K1192" s="95" t="b">
        <v>0</v>
      </c>
      <c r="L1192" s="95">
        <v>9</v>
      </c>
      <c r="M1192" s="96">
        <v>2034</v>
      </c>
      <c r="N1192" s="97">
        <v>0</v>
      </c>
      <c r="O1192" s="98">
        <v>46020</v>
      </c>
      <c r="P1192" s="98">
        <v>46020</v>
      </c>
      <c r="Q1192" s="99">
        <v>0</v>
      </c>
    </row>
    <row r="1193" spans="1:17">
      <c r="A1193" s="7">
        <v>2025</v>
      </c>
      <c r="B1193" s="8" t="s">
        <v>434</v>
      </c>
      <c r="C1193" s="94" t="s">
        <v>435</v>
      </c>
      <c r="D1193" s="95">
        <v>3215062</v>
      </c>
      <c r="E1193" s="95">
        <v>2</v>
      </c>
      <c r="F1193" s="95"/>
      <c r="G1193" s="95">
        <v>92110</v>
      </c>
      <c r="H1193" s="95" t="s">
        <v>214</v>
      </c>
      <c r="I1193" s="95"/>
      <c r="J1193" s="95" t="s">
        <v>164</v>
      </c>
      <c r="K1193" s="95" t="b">
        <v>0</v>
      </c>
      <c r="L1193" s="95">
        <v>1</v>
      </c>
      <c r="M1193" s="96">
        <v>2026</v>
      </c>
      <c r="N1193" s="97">
        <v>1552699.54</v>
      </c>
      <c r="O1193" s="98">
        <v>46020</v>
      </c>
      <c r="P1193" s="98">
        <v>46020</v>
      </c>
      <c r="Q1193" s="99">
        <v>0</v>
      </c>
    </row>
    <row r="1194" spans="1:17">
      <c r="A1194" s="7">
        <v>2025</v>
      </c>
      <c r="B1194" s="8" t="s">
        <v>434</v>
      </c>
      <c r="C1194" s="94" t="s">
        <v>435</v>
      </c>
      <c r="D1194" s="95">
        <v>3215062</v>
      </c>
      <c r="E1194" s="95">
        <v>2</v>
      </c>
      <c r="F1194" s="95"/>
      <c r="G1194" s="95">
        <v>92110</v>
      </c>
      <c r="H1194" s="95" t="s">
        <v>214</v>
      </c>
      <c r="I1194" s="95"/>
      <c r="J1194" s="95" t="s">
        <v>164</v>
      </c>
      <c r="K1194" s="95" t="b">
        <v>0</v>
      </c>
      <c r="L1194" s="95">
        <v>4</v>
      </c>
      <c r="M1194" s="96">
        <v>2029</v>
      </c>
      <c r="N1194" s="97">
        <v>0</v>
      </c>
      <c r="O1194" s="98">
        <v>46020</v>
      </c>
      <c r="P1194" s="98">
        <v>46020</v>
      </c>
      <c r="Q1194" s="99">
        <v>0</v>
      </c>
    </row>
    <row r="1195" spans="1:17">
      <c r="A1195" s="7">
        <v>2025</v>
      </c>
      <c r="B1195" s="8" t="s">
        <v>434</v>
      </c>
      <c r="C1195" s="94" t="s">
        <v>435</v>
      </c>
      <c r="D1195" s="95">
        <v>3215062</v>
      </c>
      <c r="E1195" s="95">
        <v>2</v>
      </c>
      <c r="F1195" s="95"/>
      <c r="G1195" s="95">
        <v>92110</v>
      </c>
      <c r="H1195" s="95" t="s">
        <v>214</v>
      </c>
      <c r="I1195" s="95"/>
      <c r="J1195" s="95" t="s">
        <v>164</v>
      </c>
      <c r="K1195" s="95" t="b">
        <v>0</v>
      </c>
      <c r="L1195" s="95">
        <v>0</v>
      </c>
      <c r="M1195" s="96">
        <v>2025</v>
      </c>
      <c r="N1195" s="97">
        <v>3595198.48</v>
      </c>
      <c r="O1195" s="98">
        <v>46020</v>
      </c>
      <c r="P1195" s="98">
        <v>46020</v>
      </c>
      <c r="Q1195" s="99">
        <v>0</v>
      </c>
    </row>
    <row r="1196" spans="1:17">
      <c r="A1196" s="7">
        <v>2025</v>
      </c>
      <c r="B1196" s="8" t="s">
        <v>434</v>
      </c>
      <c r="C1196" s="94" t="s">
        <v>435</v>
      </c>
      <c r="D1196" s="95">
        <v>3215062</v>
      </c>
      <c r="E1196" s="95">
        <v>2</v>
      </c>
      <c r="F1196" s="95"/>
      <c r="G1196" s="95">
        <v>92110</v>
      </c>
      <c r="H1196" s="95" t="s">
        <v>214</v>
      </c>
      <c r="I1196" s="95"/>
      <c r="J1196" s="95" t="s">
        <v>164</v>
      </c>
      <c r="K1196" s="95" t="b">
        <v>0</v>
      </c>
      <c r="L1196" s="95">
        <v>7</v>
      </c>
      <c r="M1196" s="96">
        <v>2032</v>
      </c>
      <c r="N1196" s="97">
        <v>0</v>
      </c>
      <c r="O1196" s="98">
        <v>46020</v>
      </c>
      <c r="P1196" s="98">
        <v>46020</v>
      </c>
      <c r="Q1196" s="99">
        <v>0</v>
      </c>
    </row>
    <row r="1197" spans="1:17">
      <c r="A1197" s="7">
        <v>2025</v>
      </c>
      <c r="B1197" s="8" t="s">
        <v>434</v>
      </c>
      <c r="C1197" s="94" t="s">
        <v>435</v>
      </c>
      <c r="D1197" s="95">
        <v>3215062</v>
      </c>
      <c r="E1197" s="95">
        <v>2</v>
      </c>
      <c r="F1197" s="95"/>
      <c r="G1197" s="95">
        <v>100000</v>
      </c>
      <c r="H1197" s="95">
        <v>10</v>
      </c>
      <c r="I1197" s="95"/>
      <c r="J1197" s="95" t="s">
        <v>172</v>
      </c>
      <c r="K1197" s="95" t="b">
        <v>0</v>
      </c>
      <c r="L1197" s="95">
        <v>5</v>
      </c>
      <c r="M1197" s="96">
        <v>2030</v>
      </c>
      <c r="N1197" s="97">
        <v>0</v>
      </c>
      <c r="O1197" s="98">
        <v>46020</v>
      </c>
      <c r="P1197" s="98">
        <v>46020</v>
      </c>
      <c r="Q1197" s="99">
        <v>0</v>
      </c>
    </row>
    <row r="1198" spans="1:17">
      <c r="A1198" s="7">
        <v>2025</v>
      </c>
      <c r="B1198" s="8" t="s">
        <v>434</v>
      </c>
      <c r="C1198" s="94" t="s">
        <v>435</v>
      </c>
      <c r="D1198" s="95">
        <v>3215062</v>
      </c>
      <c r="E1198" s="95">
        <v>2</v>
      </c>
      <c r="F1198" s="95"/>
      <c r="G1198" s="95">
        <v>100000</v>
      </c>
      <c r="H1198" s="95">
        <v>10</v>
      </c>
      <c r="I1198" s="95"/>
      <c r="J1198" s="95" t="s">
        <v>172</v>
      </c>
      <c r="K1198" s="95" t="b">
        <v>0</v>
      </c>
      <c r="L1198" s="95">
        <v>10</v>
      </c>
      <c r="M1198" s="96">
        <v>2035</v>
      </c>
      <c r="N1198" s="97">
        <v>0</v>
      </c>
      <c r="O1198" s="98">
        <v>46020</v>
      </c>
      <c r="P1198" s="98">
        <v>46020</v>
      </c>
      <c r="Q1198" s="99">
        <v>0</v>
      </c>
    </row>
    <row r="1199" spans="1:17">
      <c r="A1199" s="7">
        <v>2025</v>
      </c>
      <c r="B1199" s="8" t="s">
        <v>434</v>
      </c>
      <c r="C1199" s="94" t="s">
        <v>435</v>
      </c>
      <c r="D1199" s="95">
        <v>3215062</v>
      </c>
      <c r="E1199" s="95">
        <v>2</v>
      </c>
      <c r="F1199" s="95"/>
      <c r="G1199" s="95">
        <v>100000</v>
      </c>
      <c r="H1199" s="95">
        <v>10</v>
      </c>
      <c r="I1199" s="95"/>
      <c r="J1199" s="95" t="s">
        <v>172</v>
      </c>
      <c r="K1199" s="95" t="b">
        <v>0</v>
      </c>
      <c r="L1199" s="95">
        <v>1</v>
      </c>
      <c r="M1199" s="96">
        <v>2026</v>
      </c>
      <c r="N1199" s="97">
        <v>0</v>
      </c>
      <c r="O1199" s="98">
        <v>46020</v>
      </c>
      <c r="P1199" s="98">
        <v>46020</v>
      </c>
      <c r="Q1199" s="99">
        <v>0</v>
      </c>
    </row>
    <row r="1200" spans="1:17">
      <c r="A1200" s="7">
        <v>2025</v>
      </c>
      <c r="B1200" s="8" t="s">
        <v>434</v>
      </c>
      <c r="C1200" s="94" t="s">
        <v>435</v>
      </c>
      <c r="D1200" s="95">
        <v>3215062</v>
      </c>
      <c r="E1200" s="95">
        <v>2</v>
      </c>
      <c r="F1200" s="95"/>
      <c r="G1200" s="95">
        <v>100000</v>
      </c>
      <c r="H1200" s="95">
        <v>10</v>
      </c>
      <c r="I1200" s="95"/>
      <c r="J1200" s="95" t="s">
        <v>172</v>
      </c>
      <c r="K1200" s="95" t="b">
        <v>0</v>
      </c>
      <c r="L1200" s="95">
        <v>0</v>
      </c>
      <c r="M1200" s="96">
        <v>2025</v>
      </c>
      <c r="N1200" s="97">
        <v>0</v>
      </c>
      <c r="O1200" s="98">
        <v>46020</v>
      </c>
      <c r="P1200" s="98">
        <v>46020</v>
      </c>
      <c r="Q1200" s="99">
        <v>0</v>
      </c>
    </row>
    <row r="1201" spans="1:17">
      <c r="A1201" s="7">
        <v>2025</v>
      </c>
      <c r="B1201" s="8" t="s">
        <v>434</v>
      </c>
      <c r="C1201" s="94" t="s">
        <v>435</v>
      </c>
      <c r="D1201" s="95">
        <v>3215062</v>
      </c>
      <c r="E1201" s="95">
        <v>2</v>
      </c>
      <c r="F1201" s="95"/>
      <c r="G1201" s="95">
        <v>100000</v>
      </c>
      <c r="H1201" s="95">
        <v>10</v>
      </c>
      <c r="I1201" s="95"/>
      <c r="J1201" s="95" t="s">
        <v>172</v>
      </c>
      <c r="K1201" s="95" t="b">
        <v>0</v>
      </c>
      <c r="L1201" s="95">
        <v>7</v>
      </c>
      <c r="M1201" s="96">
        <v>2032</v>
      </c>
      <c r="N1201" s="97">
        <v>0</v>
      </c>
      <c r="O1201" s="98">
        <v>46020</v>
      </c>
      <c r="P1201" s="98">
        <v>46020</v>
      </c>
      <c r="Q1201" s="99">
        <v>0</v>
      </c>
    </row>
    <row r="1202" spans="1:17">
      <c r="A1202" s="7">
        <v>2025</v>
      </c>
      <c r="B1202" s="8" t="s">
        <v>434</v>
      </c>
      <c r="C1202" s="94" t="s">
        <v>435</v>
      </c>
      <c r="D1202" s="95">
        <v>3215062</v>
      </c>
      <c r="E1202" s="95">
        <v>2</v>
      </c>
      <c r="F1202" s="95"/>
      <c r="G1202" s="95">
        <v>100000</v>
      </c>
      <c r="H1202" s="95">
        <v>10</v>
      </c>
      <c r="I1202" s="95"/>
      <c r="J1202" s="95" t="s">
        <v>172</v>
      </c>
      <c r="K1202" s="95" t="b">
        <v>0</v>
      </c>
      <c r="L1202" s="95">
        <v>12</v>
      </c>
      <c r="M1202" s="96">
        <v>2037</v>
      </c>
      <c r="N1202" s="97">
        <v>0</v>
      </c>
      <c r="O1202" s="98">
        <v>46020</v>
      </c>
      <c r="P1202" s="98">
        <v>46020</v>
      </c>
      <c r="Q1202" s="99">
        <v>0</v>
      </c>
    </row>
    <row r="1203" spans="1:17">
      <c r="A1203" s="7">
        <v>2025</v>
      </c>
      <c r="B1203" s="8" t="s">
        <v>434</v>
      </c>
      <c r="C1203" s="94" t="s">
        <v>435</v>
      </c>
      <c r="D1203" s="95">
        <v>3215062</v>
      </c>
      <c r="E1203" s="95">
        <v>2</v>
      </c>
      <c r="F1203" s="95"/>
      <c r="G1203" s="95">
        <v>100000</v>
      </c>
      <c r="H1203" s="95">
        <v>10</v>
      </c>
      <c r="I1203" s="95"/>
      <c r="J1203" s="95" t="s">
        <v>172</v>
      </c>
      <c r="K1203" s="95" t="b">
        <v>0</v>
      </c>
      <c r="L1203" s="95">
        <v>3</v>
      </c>
      <c r="M1203" s="96">
        <v>2028</v>
      </c>
      <c r="N1203" s="97">
        <v>0</v>
      </c>
      <c r="O1203" s="98">
        <v>46020</v>
      </c>
      <c r="P1203" s="98">
        <v>46020</v>
      </c>
      <c r="Q1203" s="99">
        <v>0</v>
      </c>
    </row>
    <row r="1204" spans="1:17">
      <c r="A1204" s="7">
        <v>2025</v>
      </c>
      <c r="B1204" s="8" t="s">
        <v>434</v>
      </c>
      <c r="C1204" s="94" t="s">
        <v>435</v>
      </c>
      <c r="D1204" s="95">
        <v>3215062</v>
      </c>
      <c r="E1204" s="95">
        <v>2</v>
      </c>
      <c r="F1204" s="95"/>
      <c r="G1204" s="95">
        <v>100000</v>
      </c>
      <c r="H1204" s="95">
        <v>10</v>
      </c>
      <c r="I1204" s="95"/>
      <c r="J1204" s="95" t="s">
        <v>172</v>
      </c>
      <c r="K1204" s="95" t="b">
        <v>0</v>
      </c>
      <c r="L1204" s="95">
        <v>11</v>
      </c>
      <c r="M1204" s="96">
        <v>2036</v>
      </c>
      <c r="N1204" s="97">
        <v>0</v>
      </c>
      <c r="O1204" s="98">
        <v>46020</v>
      </c>
      <c r="P1204" s="98">
        <v>46020</v>
      </c>
      <c r="Q1204" s="99">
        <v>0</v>
      </c>
    </row>
    <row r="1205" spans="1:17">
      <c r="A1205" s="7">
        <v>2025</v>
      </c>
      <c r="B1205" s="8" t="s">
        <v>434</v>
      </c>
      <c r="C1205" s="94" t="s">
        <v>435</v>
      </c>
      <c r="D1205" s="95">
        <v>3215062</v>
      </c>
      <c r="E1205" s="95">
        <v>2</v>
      </c>
      <c r="F1205" s="95"/>
      <c r="G1205" s="95">
        <v>100000</v>
      </c>
      <c r="H1205" s="95">
        <v>10</v>
      </c>
      <c r="I1205" s="95"/>
      <c r="J1205" s="95" t="s">
        <v>172</v>
      </c>
      <c r="K1205" s="95" t="b">
        <v>0</v>
      </c>
      <c r="L1205" s="95">
        <v>2</v>
      </c>
      <c r="M1205" s="96">
        <v>2027</v>
      </c>
      <c r="N1205" s="97">
        <v>0</v>
      </c>
      <c r="O1205" s="98">
        <v>46020</v>
      </c>
      <c r="P1205" s="98">
        <v>46020</v>
      </c>
      <c r="Q1205" s="99">
        <v>0</v>
      </c>
    </row>
    <row r="1206" spans="1:17">
      <c r="A1206" s="7">
        <v>2025</v>
      </c>
      <c r="B1206" s="8" t="s">
        <v>434</v>
      </c>
      <c r="C1206" s="94" t="s">
        <v>435</v>
      </c>
      <c r="D1206" s="95">
        <v>3215062</v>
      </c>
      <c r="E1206" s="95">
        <v>2</v>
      </c>
      <c r="F1206" s="95"/>
      <c r="G1206" s="95">
        <v>100000</v>
      </c>
      <c r="H1206" s="95">
        <v>10</v>
      </c>
      <c r="I1206" s="95"/>
      <c r="J1206" s="95" t="s">
        <v>172</v>
      </c>
      <c r="K1206" s="95" t="b">
        <v>0</v>
      </c>
      <c r="L1206" s="95">
        <v>6</v>
      </c>
      <c r="M1206" s="96">
        <v>2031</v>
      </c>
      <c r="N1206" s="97">
        <v>0</v>
      </c>
      <c r="O1206" s="98">
        <v>46020</v>
      </c>
      <c r="P1206" s="98">
        <v>46020</v>
      </c>
      <c r="Q1206" s="99">
        <v>0</v>
      </c>
    </row>
    <row r="1207" spans="1:17">
      <c r="A1207" s="7">
        <v>2025</v>
      </c>
      <c r="B1207" s="8" t="s">
        <v>434</v>
      </c>
      <c r="C1207" s="94" t="s">
        <v>435</v>
      </c>
      <c r="D1207" s="95">
        <v>3215062</v>
      </c>
      <c r="E1207" s="95">
        <v>2</v>
      </c>
      <c r="F1207" s="95"/>
      <c r="G1207" s="95">
        <v>100000</v>
      </c>
      <c r="H1207" s="95">
        <v>10</v>
      </c>
      <c r="I1207" s="95"/>
      <c r="J1207" s="95" t="s">
        <v>172</v>
      </c>
      <c r="K1207" s="95" t="b">
        <v>0</v>
      </c>
      <c r="L1207" s="95">
        <v>13</v>
      </c>
      <c r="M1207" s="96">
        <v>2038</v>
      </c>
      <c r="N1207" s="97">
        <v>0</v>
      </c>
      <c r="O1207" s="98">
        <v>46020</v>
      </c>
      <c r="P1207" s="98">
        <v>46020</v>
      </c>
      <c r="Q1207" s="99">
        <v>0</v>
      </c>
    </row>
    <row r="1208" spans="1:17">
      <c r="A1208" s="7">
        <v>2025</v>
      </c>
      <c r="B1208" s="8" t="s">
        <v>434</v>
      </c>
      <c r="C1208" s="94" t="s">
        <v>435</v>
      </c>
      <c r="D1208" s="95">
        <v>3215062</v>
      </c>
      <c r="E1208" s="95">
        <v>2</v>
      </c>
      <c r="F1208" s="95"/>
      <c r="G1208" s="95">
        <v>100000</v>
      </c>
      <c r="H1208" s="95">
        <v>10</v>
      </c>
      <c r="I1208" s="95"/>
      <c r="J1208" s="95" t="s">
        <v>172</v>
      </c>
      <c r="K1208" s="95" t="b">
        <v>0</v>
      </c>
      <c r="L1208" s="95">
        <v>9</v>
      </c>
      <c r="M1208" s="96">
        <v>2034</v>
      </c>
      <c r="N1208" s="97">
        <v>0</v>
      </c>
      <c r="O1208" s="98">
        <v>46020</v>
      </c>
      <c r="P1208" s="98">
        <v>46020</v>
      </c>
      <c r="Q1208" s="99">
        <v>0</v>
      </c>
    </row>
    <row r="1209" spans="1:17">
      <c r="A1209" s="7">
        <v>2025</v>
      </c>
      <c r="B1209" s="8" t="s">
        <v>434</v>
      </c>
      <c r="C1209" s="94" t="s">
        <v>435</v>
      </c>
      <c r="D1209" s="95">
        <v>3215062</v>
      </c>
      <c r="E1209" s="95">
        <v>2</v>
      </c>
      <c r="F1209" s="95"/>
      <c r="G1209" s="95">
        <v>100000</v>
      </c>
      <c r="H1209" s="95">
        <v>10</v>
      </c>
      <c r="I1209" s="95"/>
      <c r="J1209" s="95" t="s">
        <v>172</v>
      </c>
      <c r="K1209" s="95" t="b">
        <v>0</v>
      </c>
      <c r="L1209" s="95">
        <v>8</v>
      </c>
      <c r="M1209" s="96">
        <v>2033</v>
      </c>
      <c r="N1209" s="97">
        <v>0</v>
      </c>
      <c r="O1209" s="98">
        <v>46020</v>
      </c>
      <c r="P1209" s="98">
        <v>46020</v>
      </c>
      <c r="Q1209" s="99">
        <v>0</v>
      </c>
    </row>
    <row r="1210" spans="1:17">
      <c r="A1210" s="7">
        <v>2025</v>
      </c>
      <c r="B1210" s="8" t="s">
        <v>434</v>
      </c>
      <c r="C1210" s="94" t="s">
        <v>435</v>
      </c>
      <c r="D1210" s="95">
        <v>3215062</v>
      </c>
      <c r="E1210" s="95">
        <v>2</v>
      </c>
      <c r="F1210" s="95"/>
      <c r="G1210" s="95">
        <v>100000</v>
      </c>
      <c r="H1210" s="95">
        <v>10</v>
      </c>
      <c r="I1210" s="95"/>
      <c r="J1210" s="95" t="s">
        <v>172</v>
      </c>
      <c r="K1210" s="95" t="b">
        <v>0</v>
      </c>
      <c r="L1210" s="95">
        <v>4</v>
      </c>
      <c r="M1210" s="96">
        <v>2029</v>
      </c>
      <c r="N1210" s="97">
        <v>0</v>
      </c>
      <c r="O1210" s="98">
        <v>46020</v>
      </c>
      <c r="P1210" s="98">
        <v>46020</v>
      </c>
      <c r="Q1210" s="99">
        <v>0</v>
      </c>
    </row>
    <row r="1211" spans="1:17">
      <c r="A1211" s="7">
        <v>2025</v>
      </c>
      <c r="B1211" s="8" t="s">
        <v>434</v>
      </c>
      <c r="C1211" s="94" t="s">
        <v>435</v>
      </c>
      <c r="D1211" s="95">
        <v>3215062</v>
      </c>
      <c r="E1211" s="95">
        <v>2</v>
      </c>
      <c r="F1211" s="95"/>
      <c r="G1211" s="95">
        <v>94000</v>
      </c>
      <c r="H1211" s="95">
        <v>9.4</v>
      </c>
      <c r="I1211" s="95"/>
      <c r="J1211" s="95" t="s">
        <v>170</v>
      </c>
      <c r="K1211" s="95" t="b">
        <v>1</v>
      </c>
      <c r="L1211" s="95">
        <v>4</v>
      </c>
      <c r="M1211" s="96">
        <v>2029</v>
      </c>
      <c r="N1211" s="97">
        <v>0</v>
      </c>
      <c r="O1211" s="98">
        <v>46020</v>
      </c>
      <c r="P1211" s="98">
        <v>46020</v>
      </c>
      <c r="Q1211" s="99">
        <v>0</v>
      </c>
    </row>
    <row r="1212" spans="1:17">
      <c r="A1212" s="7">
        <v>2025</v>
      </c>
      <c r="B1212" s="8" t="s">
        <v>434</v>
      </c>
      <c r="C1212" s="94" t="s">
        <v>435</v>
      </c>
      <c r="D1212" s="95">
        <v>3215062</v>
      </c>
      <c r="E1212" s="95">
        <v>2</v>
      </c>
      <c r="F1212" s="95"/>
      <c r="G1212" s="95">
        <v>94000</v>
      </c>
      <c r="H1212" s="95">
        <v>9.4</v>
      </c>
      <c r="I1212" s="95"/>
      <c r="J1212" s="95" t="s">
        <v>170</v>
      </c>
      <c r="K1212" s="95" t="b">
        <v>1</v>
      </c>
      <c r="L1212" s="95">
        <v>12</v>
      </c>
      <c r="M1212" s="96">
        <v>2037</v>
      </c>
      <c r="N1212" s="97">
        <v>0</v>
      </c>
      <c r="O1212" s="98">
        <v>46020</v>
      </c>
      <c r="P1212" s="98">
        <v>46020</v>
      </c>
      <c r="Q1212" s="99">
        <v>0</v>
      </c>
    </row>
    <row r="1213" spans="1:17">
      <c r="A1213" s="7">
        <v>2025</v>
      </c>
      <c r="B1213" s="8" t="s">
        <v>434</v>
      </c>
      <c r="C1213" s="94" t="s">
        <v>435</v>
      </c>
      <c r="D1213" s="95">
        <v>3215062</v>
      </c>
      <c r="E1213" s="95">
        <v>2</v>
      </c>
      <c r="F1213" s="95"/>
      <c r="G1213" s="95">
        <v>94000</v>
      </c>
      <c r="H1213" s="95">
        <v>9.4</v>
      </c>
      <c r="I1213" s="95"/>
      <c r="J1213" s="95" t="s">
        <v>170</v>
      </c>
      <c r="K1213" s="95" t="b">
        <v>1</v>
      </c>
      <c r="L1213" s="95">
        <v>0</v>
      </c>
      <c r="M1213" s="96">
        <v>2025</v>
      </c>
      <c r="N1213" s="97">
        <v>4467565.57</v>
      </c>
      <c r="O1213" s="98">
        <v>46020</v>
      </c>
      <c r="P1213" s="98">
        <v>46020</v>
      </c>
      <c r="Q1213" s="99">
        <v>0</v>
      </c>
    </row>
    <row r="1214" spans="1:17">
      <c r="A1214" s="7">
        <v>2025</v>
      </c>
      <c r="B1214" s="8" t="s">
        <v>434</v>
      </c>
      <c r="C1214" s="94" t="s">
        <v>435</v>
      </c>
      <c r="D1214" s="95">
        <v>3215062</v>
      </c>
      <c r="E1214" s="95">
        <v>2</v>
      </c>
      <c r="F1214" s="95"/>
      <c r="G1214" s="95">
        <v>94000</v>
      </c>
      <c r="H1214" s="95">
        <v>9.4</v>
      </c>
      <c r="I1214" s="95"/>
      <c r="J1214" s="95" t="s">
        <v>170</v>
      </c>
      <c r="K1214" s="95" t="b">
        <v>1</v>
      </c>
      <c r="L1214" s="95">
        <v>6</v>
      </c>
      <c r="M1214" s="96">
        <v>2031</v>
      </c>
      <c r="N1214" s="97">
        <v>0</v>
      </c>
      <c r="O1214" s="98">
        <v>46020</v>
      </c>
      <c r="P1214" s="98">
        <v>46020</v>
      </c>
      <c r="Q1214" s="99">
        <v>0</v>
      </c>
    </row>
    <row r="1215" spans="1:17">
      <c r="A1215" s="7">
        <v>2025</v>
      </c>
      <c r="B1215" s="8" t="s">
        <v>434</v>
      </c>
      <c r="C1215" s="94" t="s">
        <v>435</v>
      </c>
      <c r="D1215" s="95">
        <v>3215062</v>
      </c>
      <c r="E1215" s="95">
        <v>2</v>
      </c>
      <c r="F1215" s="95"/>
      <c r="G1215" s="95">
        <v>94000</v>
      </c>
      <c r="H1215" s="95">
        <v>9.4</v>
      </c>
      <c r="I1215" s="95"/>
      <c r="J1215" s="95" t="s">
        <v>170</v>
      </c>
      <c r="K1215" s="95" t="b">
        <v>1</v>
      </c>
      <c r="L1215" s="95">
        <v>1</v>
      </c>
      <c r="M1215" s="96">
        <v>2026</v>
      </c>
      <c r="N1215" s="97">
        <v>9353491.2599999998</v>
      </c>
      <c r="O1215" s="98">
        <v>46020</v>
      </c>
      <c r="P1215" s="98">
        <v>46020</v>
      </c>
      <c r="Q1215" s="99">
        <v>0</v>
      </c>
    </row>
    <row r="1216" spans="1:17">
      <c r="A1216" s="7">
        <v>2025</v>
      </c>
      <c r="B1216" s="8" t="s">
        <v>434</v>
      </c>
      <c r="C1216" s="94" t="s">
        <v>435</v>
      </c>
      <c r="D1216" s="95">
        <v>3215062</v>
      </c>
      <c r="E1216" s="95">
        <v>2</v>
      </c>
      <c r="F1216" s="95"/>
      <c r="G1216" s="95">
        <v>94000</v>
      </c>
      <c r="H1216" s="95">
        <v>9.4</v>
      </c>
      <c r="I1216" s="95"/>
      <c r="J1216" s="95" t="s">
        <v>170</v>
      </c>
      <c r="K1216" s="95" t="b">
        <v>1</v>
      </c>
      <c r="L1216" s="95">
        <v>9</v>
      </c>
      <c r="M1216" s="96">
        <v>2034</v>
      </c>
      <c r="N1216" s="97">
        <v>0</v>
      </c>
      <c r="O1216" s="98">
        <v>46020</v>
      </c>
      <c r="P1216" s="98">
        <v>46020</v>
      </c>
      <c r="Q1216" s="99">
        <v>0</v>
      </c>
    </row>
    <row r="1217" spans="1:17">
      <c r="A1217" s="7">
        <v>2025</v>
      </c>
      <c r="B1217" s="8" t="s">
        <v>434</v>
      </c>
      <c r="C1217" s="94" t="s">
        <v>435</v>
      </c>
      <c r="D1217" s="95">
        <v>3215062</v>
      </c>
      <c r="E1217" s="95">
        <v>2</v>
      </c>
      <c r="F1217" s="95"/>
      <c r="G1217" s="95">
        <v>94000</v>
      </c>
      <c r="H1217" s="95">
        <v>9.4</v>
      </c>
      <c r="I1217" s="95"/>
      <c r="J1217" s="95" t="s">
        <v>170</v>
      </c>
      <c r="K1217" s="95" t="b">
        <v>1</v>
      </c>
      <c r="L1217" s="95">
        <v>2</v>
      </c>
      <c r="M1217" s="96">
        <v>2027</v>
      </c>
      <c r="N1217" s="97">
        <v>7286360.5199999996</v>
      </c>
      <c r="O1217" s="98">
        <v>46020</v>
      </c>
      <c r="P1217" s="98">
        <v>46020</v>
      </c>
      <c r="Q1217" s="99">
        <v>0</v>
      </c>
    </row>
    <row r="1218" spans="1:17">
      <c r="A1218" s="7">
        <v>2025</v>
      </c>
      <c r="B1218" s="8" t="s">
        <v>434</v>
      </c>
      <c r="C1218" s="94" t="s">
        <v>435</v>
      </c>
      <c r="D1218" s="95">
        <v>3215062</v>
      </c>
      <c r="E1218" s="95">
        <v>2</v>
      </c>
      <c r="F1218" s="95"/>
      <c r="G1218" s="95">
        <v>94000</v>
      </c>
      <c r="H1218" s="95">
        <v>9.4</v>
      </c>
      <c r="I1218" s="95"/>
      <c r="J1218" s="95" t="s">
        <v>170</v>
      </c>
      <c r="K1218" s="95" t="b">
        <v>1</v>
      </c>
      <c r="L1218" s="95">
        <v>11</v>
      </c>
      <c r="M1218" s="96">
        <v>2036</v>
      </c>
      <c r="N1218" s="97">
        <v>0</v>
      </c>
      <c r="O1218" s="98">
        <v>46020</v>
      </c>
      <c r="P1218" s="98">
        <v>46020</v>
      </c>
      <c r="Q1218" s="99">
        <v>0</v>
      </c>
    </row>
    <row r="1219" spans="1:17">
      <c r="A1219" s="7">
        <v>2025</v>
      </c>
      <c r="B1219" s="8" t="s">
        <v>434</v>
      </c>
      <c r="C1219" s="94" t="s">
        <v>435</v>
      </c>
      <c r="D1219" s="95">
        <v>3215062</v>
      </c>
      <c r="E1219" s="95">
        <v>2</v>
      </c>
      <c r="F1219" s="95"/>
      <c r="G1219" s="95">
        <v>94000</v>
      </c>
      <c r="H1219" s="95">
        <v>9.4</v>
      </c>
      <c r="I1219" s="95"/>
      <c r="J1219" s="95" t="s">
        <v>170</v>
      </c>
      <c r="K1219" s="95" t="b">
        <v>1</v>
      </c>
      <c r="L1219" s="95">
        <v>7</v>
      </c>
      <c r="M1219" s="96">
        <v>2032</v>
      </c>
      <c r="N1219" s="97">
        <v>0</v>
      </c>
      <c r="O1219" s="98">
        <v>46020</v>
      </c>
      <c r="P1219" s="98">
        <v>46020</v>
      </c>
      <c r="Q1219" s="99">
        <v>0</v>
      </c>
    </row>
    <row r="1220" spans="1:17">
      <c r="A1220" s="7">
        <v>2025</v>
      </c>
      <c r="B1220" s="8" t="s">
        <v>434</v>
      </c>
      <c r="C1220" s="94" t="s">
        <v>435</v>
      </c>
      <c r="D1220" s="95">
        <v>3215062</v>
      </c>
      <c r="E1220" s="95">
        <v>2</v>
      </c>
      <c r="F1220" s="95"/>
      <c r="G1220" s="95">
        <v>94000</v>
      </c>
      <c r="H1220" s="95">
        <v>9.4</v>
      </c>
      <c r="I1220" s="95"/>
      <c r="J1220" s="95" t="s">
        <v>170</v>
      </c>
      <c r="K1220" s="95" t="b">
        <v>1</v>
      </c>
      <c r="L1220" s="95">
        <v>5</v>
      </c>
      <c r="M1220" s="96">
        <v>2030</v>
      </c>
      <c r="N1220" s="97">
        <v>800000</v>
      </c>
      <c r="O1220" s="98">
        <v>46020</v>
      </c>
      <c r="P1220" s="98">
        <v>46020</v>
      </c>
      <c r="Q1220" s="99">
        <v>0</v>
      </c>
    </row>
    <row r="1221" spans="1:17">
      <c r="A1221" s="7">
        <v>2025</v>
      </c>
      <c r="B1221" s="8" t="s">
        <v>434</v>
      </c>
      <c r="C1221" s="94" t="s">
        <v>435</v>
      </c>
      <c r="D1221" s="95">
        <v>3215062</v>
      </c>
      <c r="E1221" s="95">
        <v>2</v>
      </c>
      <c r="F1221" s="95"/>
      <c r="G1221" s="95">
        <v>94000</v>
      </c>
      <c r="H1221" s="95">
        <v>9.4</v>
      </c>
      <c r="I1221" s="95"/>
      <c r="J1221" s="95" t="s">
        <v>170</v>
      </c>
      <c r="K1221" s="95" t="b">
        <v>1</v>
      </c>
      <c r="L1221" s="95">
        <v>10</v>
      </c>
      <c r="M1221" s="96">
        <v>2035</v>
      </c>
      <c r="N1221" s="97">
        <v>0</v>
      </c>
      <c r="O1221" s="98">
        <v>46020</v>
      </c>
      <c r="P1221" s="98">
        <v>46020</v>
      </c>
      <c r="Q1221" s="99">
        <v>0</v>
      </c>
    </row>
    <row r="1222" spans="1:17">
      <c r="A1222" s="7">
        <v>2025</v>
      </c>
      <c r="B1222" s="8" t="s">
        <v>434</v>
      </c>
      <c r="C1222" s="94" t="s">
        <v>435</v>
      </c>
      <c r="D1222" s="95">
        <v>3215062</v>
      </c>
      <c r="E1222" s="95">
        <v>2</v>
      </c>
      <c r="F1222" s="95"/>
      <c r="G1222" s="95">
        <v>94000</v>
      </c>
      <c r="H1222" s="95">
        <v>9.4</v>
      </c>
      <c r="I1222" s="95"/>
      <c r="J1222" s="95" t="s">
        <v>170</v>
      </c>
      <c r="K1222" s="95" t="b">
        <v>1</v>
      </c>
      <c r="L1222" s="95">
        <v>13</v>
      </c>
      <c r="M1222" s="96">
        <v>2038</v>
      </c>
      <c r="N1222" s="97">
        <v>0</v>
      </c>
      <c r="O1222" s="98">
        <v>46020</v>
      </c>
      <c r="P1222" s="98">
        <v>46020</v>
      </c>
      <c r="Q1222" s="99">
        <v>0</v>
      </c>
    </row>
    <row r="1223" spans="1:17">
      <c r="A1223" s="7">
        <v>2025</v>
      </c>
      <c r="B1223" s="8" t="s">
        <v>434</v>
      </c>
      <c r="C1223" s="94" t="s">
        <v>435</v>
      </c>
      <c r="D1223" s="95">
        <v>3215062</v>
      </c>
      <c r="E1223" s="95">
        <v>2</v>
      </c>
      <c r="F1223" s="95"/>
      <c r="G1223" s="95">
        <v>94000</v>
      </c>
      <c r="H1223" s="95">
        <v>9.4</v>
      </c>
      <c r="I1223" s="95"/>
      <c r="J1223" s="95" t="s">
        <v>170</v>
      </c>
      <c r="K1223" s="95" t="b">
        <v>1</v>
      </c>
      <c r="L1223" s="95">
        <v>8</v>
      </c>
      <c r="M1223" s="96">
        <v>2033</v>
      </c>
      <c r="N1223" s="97">
        <v>0</v>
      </c>
      <c r="O1223" s="98">
        <v>46020</v>
      </c>
      <c r="P1223" s="98">
        <v>46020</v>
      </c>
      <c r="Q1223" s="99">
        <v>0</v>
      </c>
    </row>
    <row r="1224" spans="1:17">
      <c r="A1224" s="7">
        <v>2025</v>
      </c>
      <c r="B1224" s="8" t="s">
        <v>434</v>
      </c>
      <c r="C1224" s="94" t="s">
        <v>435</v>
      </c>
      <c r="D1224" s="95">
        <v>3215062</v>
      </c>
      <c r="E1224" s="95">
        <v>2</v>
      </c>
      <c r="F1224" s="95"/>
      <c r="G1224" s="95">
        <v>94000</v>
      </c>
      <c r="H1224" s="95">
        <v>9.4</v>
      </c>
      <c r="I1224" s="95"/>
      <c r="J1224" s="95" t="s">
        <v>170</v>
      </c>
      <c r="K1224" s="95" t="b">
        <v>1</v>
      </c>
      <c r="L1224" s="95">
        <v>3</v>
      </c>
      <c r="M1224" s="96">
        <v>2028</v>
      </c>
      <c r="N1224" s="97">
        <v>1500000</v>
      </c>
      <c r="O1224" s="98">
        <v>46020</v>
      </c>
      <c r="P1224" s="98">
        <v>46020</v>
      </c>
      <c r="Q1224" s="99">
        <v>0</v>
      </c>
    </row>
    <row r="1225" spans="1:17">
      <c r="A1225" s="7">
        <v>2025</v>
      </c>
      <c r="B1225" s="8" t="s">
        <v>434</v>
      </c>
      <c r="C1225" s="94" t="s">
        <v>435</v>
      </c>
      <c r="D1225" s="95">
        <v>3215062</v>
      </c>
      <c r="E1225" s="95">
        <v>2</v>
      </c>
      <c r="F1225" s="95"/>
      <c r="G1225" s="95">
        <v>51100</v>
      </c>
      <c r="H1225" s="95" t="s">
        <v>43</v>
      </c>
      <c r="I1225" s="95" t="s">
        <v>464</v>
      </c>
      <c r="J1225" s="95" t="s">
        <v>465</v>
      </c>
      <c r="K1225" s="95" t="b">
        <v>1</v>
      </c>
      <c r="L1225" s="95">
        <v>7</v>
      </c>
      <c r="M1225" s="96">
        <v>2032</v>
      </c>
      <c r="N1225" s="97">
        <v>0</v>
      </c>
      <c r="O1225" s="98">
        <v>46020</v>
      </c>
      <c r="P1225" s="98">
        <v>46020</v>
      </c>
      <c r="Q1225" s="99">
        <v>0</v>
      </c>
    </row>
    <row r="1226" spans="1:17">
      <c r="A1226" s="7">
        <v>2025</v>
      </c>
      <c r="B1226" s="8" t="s">
        <v>434</v>
      </c>
      <c r="C1226" s="94" t="s">
        <v>435</v>
      </c>
      <c r="D1226" s="95">
        <v>3215062</v>
      </c>
      <c r="E1226" s="95">
        <v>2</v>
      </c>
      <c r="F1226" s="95"/>
      <c r="G1226" s="95">
        <v>51100</v>
      </c>
      <c r="H1226" s="95" t="s">
        <v>43</v>
      </c>
      <c r="I1226" s="95" t="s">
        <v>464</v>
      </c>
      <c r="J1226" s="95" t="s">
        <v>465</v>
      </c>
      <c r="K1226" s="95" t="b">
        <v>1</v>
      </c>
      <c r="L1226" s="95">
        <v>1</v>
      </c>
      <c r="M1226" s="96">
        <v>2026</v>
      </c>
      <c r="N1226" s="97">
        <v>0</v>
      </c>
      <c r="O1226" s="98">
        <v>46020</v>
      </c>
      <c r="P1226" s="98">
        <v>46020</v>
      </c>
      <c r="Q1226" s="99">
        <v>0</v>
      </c>
    </row>
    <row r="1227" spans="1:17">
      <c r="A1227" s="7">
        <v>2025</v>
      </c>
      <c r="B1227" s="8" t="s">
        <v>434</v>
      </c>
      <c r="C1227" s="94" t="s">
        <v>435</v>
      </c>
      <c r="D1227" s="95">
        <v>3215062</v>
      </c>
      <c r="E1227" s="95">
        <v>2</v>
      </c>
      <c r="F1227" s="95"/>
      <c r="G1227" s="95">
        <v>51100</v>
      </c>
      <c r="H1227" s="95" t="s">
        <v>43</v>
      </c>
      <c r="I1227" s="95" t="s">
        <v>464</v>
      </c>
      <c r="J1227" s="95" t="s">
        <v>465</v>
      </c>
      <c r="K1227" s="95" t="b">
        <v>1</v>
      </c>
      <c r="L1227" s="95">
        <v>12</v>
      </c>
      <c r="M1227" s="96">
        <v>2037</v>
      </c>
      <c r="N1227" s="97">
        <v>0</v>
      </c>
      <c r="O1227" s="98">
        <v>46020</v>
      </c>
      <c r="P1227" s="98">
        <v>46020</v>
      </c>
      <c r="Q1227" s="99">
        <v>0</v>
      </c>
    </row>
    <row r="1228" spans="1:17">
      <c r="A1228" s="7">
        <v>2025</v>
      </c>
      <c r="B1228" s="8" t="s">
        <v>434</v>
      </c>
      <c r="C1228" s="94" t="s">
        <v>435</v>
      </c>
      <c r="D1228" s="95">
        <v>3215062</v>
      </c>
      <c r="E1228" s="95">
        <v>2</v>
      </c>
      <c r="F1228" s="95"/>
      <c r="G1228" s="95">
        <v>51100</v>
      </c>
      <c r="H1228" s="95" t="s">
        <v>43</v>
      </c>
      <c r="I1228" s="95" t="s">
        <v>464</v>
      </c>
      <c r="J1228" s="95" t="s">
        <v>465</v>
      </c>
      <c r="K1228" s="95" t="b">
        <v>1</v>
      </c>
      <c r="L1228" s="95">
        <v>13</v>
      </c>
      <c r="M1228" s="96">
        <v>2038</v>
      </c>
      <c r="N1228" s="97">
        <v>0</v>
      </c>
      <c r="O1228" s="98">
        <v>46020</v>
      </c>
      <c r="P1228" s="98">
        <v>46020</v>
      </c>
      <c r="Q1228" s="99">
        <v>0</v>
      </c>
    </row>
    <row r="1229" spans="1:17">
      <c r="A1229" s="7">
        <v>2025</v>
      </c>
      <c r="B1229" s="8" t="s">
        <v>434</v>
      </c>
      <c r="C1229" s="94" t="s">
        <v>435</v>
      </c>
      <c r="D1229" s="95">
        <v>3215062</v>
      </c>
      <c r="E1229" s="95">
        <v>2</v>
      </c>
      <c r="F1229" s="95"/>
      <c r="G1229" s="95">
        <v>51100</v>
      </c>
      <c r="H1229" s="95" t="s">
        <v>43</v>
      </c>
      <c r="I1229" s="95" t="s">
        <v>464</v>
      </c>
      <c r="J1229" s="95" t="s">
        <v>465</v>
      </c>
      <c r="K1229" s="95" t="b">
        <v>1</v>
      </c>
      <c r="L1229" s="95">
        <v>3</v>
      </c>
      <c r="M1229" s="96">
        <v>2028</v>
      </c>
      <c r="N1229" s="97">
        <v>0</v>
      </c>
      <c r="O1229" s="98">
        <v>46020</v>
      </c>
      <c r="P1229" s="98">
        <v>46020</v>
      </c>
      <c r="Q1229" s="99">
        <v>0</v>
      </c>
    </row>
    <row r="1230" spans="1:17">
      <c r="A1230" s="7">
        <v>2025</v>
      </c>
      <c r="B1230" s="8" t="s">
        <v>434</v>
      </c>
      <c r="C1230" s="94" t="s">
        <v>435</v>
      </c>
      <c r="D1230" s="95">
        <v>3215062</v>
      </c>
      <c r="E1230" s="95">
        <v>2</v>
      </c>
      <c r="F1230" s="95"/>
      <c r="G1230" s="95">
        <v>51100</v>
      </c>
      <c r="H1230" s="95" t="s">
        <v>43</v>
      </c>
      <c r="I1230" s="95" t="s">
        <v>464</v>
      </c>
      <c r="J1230" s="95" t="s">
        <v>465</v>
      </c>
      <c r="K1230" s="95" t="b">
        <v>1</v>
      </c>
      <c r="L1230" s="95">
        <v>0</v>
      </c>
      <c r="M1230" s="96">
        <v>2025</v>
      </c>
      <c r="N1230" s="97">
        <v>0</v>
      </c>
      <c r="O1230" s="98">
        <v>46020</v>
      </c>
      <c r="P1230" s="98">
        <v>46020</v>
      </c>
      <c r="Q1230" s="99">
        <v>0</v>
      </c>
    </row>
    <row r="1231" spans="1:17">
      <c r="A1231" s="7">
        <v>2025</v>
      </c>
      <c r="B1231" s="8" t="s">
        <v>434</v>
      </c>
      <c r="C1231" s="94" t="s">
        <v>435</v>
      </c>
      <c r="D1231" s="95">
        <v>3215062</v>
      </c>
      <c r="E1231" s="95">
        <v>2</v>
      </c>
      <c r="F1231" s="95"/>
      <c r="G1231" s="95">
        <v>51100</v>
      </c>
      <c r="H1231" s="95" t="s">
        <v>43</v>
      </c>
      <c r="I1231" s="95" t="s">
        <v>464</v>
      </c>
      <c r="J1231" s="95" t="s">
        <v>465</v>
      </c>
      <c r="K1231" s="95" t="b">
        <v>1</v>
      </c>
      <c r="L1231" s="95">
        <v>2</v>
      </c>
      <c r="M1231" s="96">
        <v>2027</v>
      </c>
      <c r="N1231" s="97">
        <v>0</v>
      </c>
      <c r="O1231" s="98">
        <v>46020</v>
      </c>
      <c r="P1231" s="98">
        <v>46020</v>
      </c>
      <c r="Q1231" s="99">
        <v>0</v>
      </c>
    </row>
    <row r="1232" spans="1:17">
      <c r="A1232" s="7">
        <v>2025</v>
      </c>
      <c r="B1232" s="8" t="s">
        <v>434</v>
      </c>
      <c r="C1232" s="94" t="s">
        <v>435</v>
      </c>
      <c r="D1232" s="95">
        <v>3215062</v>
      </c>
      <c r="E1232" s="95">
        <v>2</v>
      </c>
      <c r="F1232" s="95"/>
      <c r="G1232" s="95">
        <v>51100</v>
      </c>
      <c r="H1232" s="95" t="s">
        <v>43</v>
      </c>
      <c r="I1232" s="95" t="s">
        <v>464</v>
      </c>
      <c r="J1232" s="95" t="s">
        <v>465</v>
      </c>
      <c r="K1232" s="95" t="b">
        <v>1</v>
      </c>
      <c r="L1232" s="95">
        <v>8</v>
      </c>
      <c r="M1232" s="96">
        <v>2033</v>
      </c>
      <c r="N1232" s="97">
        <v>0</v>
      </c>
      <c r="O1232" s="98">
        <v>46020</v>
      </c>
      <c r="P1232" s="98">
        <v>46020</v>
      </c>
      <c r="Q1232" s="99">
        <v>0</v>
      </c>
    </row>
    <row r="1233" spans="1:17">
      <c r="A1233" s="7">
        <v>2025</v>
      </c>
      <c r="B1233" s="8" t="s">
        <v>434</v>
      </c>
      <c r="C1233" s="94" t="s">
        <v>435</v>
      </c>
      <c r="D1233" s="95">
        <v>3215062</v>
      </c>
      <c r="E1233" s="95">
        <v>2</v>
      </c>
      <c r="F1233" s="95"/>
      <c r="G1233" s="95">
        <v>51100</v>
      </c>
      <c r="H1233" s="95" t="s">
        <v>43</v>
      </c>
      <c r="I1233" s="95" t="s">
        <v>464</v>
      </c>
      <c r="J1233" s="95" t="s">
        <v>465</v>
      </c>
      <c r="K1233" s="95" t="b">
        <v>1</v>
      </c>
      <c r="L1233" s="95">
        <v>4</v>
      </c>
      <c r="M1233" s="96">
        <v>2029</v>
      </c>
      <c r="N1233" s="97">
        <v>0</v>
      </c>
      <c r="O1233" s="98">
        <v>46020</v>
      </c>
      <c r="P1233" s="98">
        <v>46020</v>
      </c>
      <c r="Q1233" s="99">
        <v>0</v>
      </c>
    </row>
    <row r="1234" spans="1:17">
      <c r="A1234" s="7">
        <v>2025</v>
      </c>
      <c r="B1234" s="8" t="s">
        <v>434</v>
      </c>
      <c r="C1234" s="94" t="s">
        <v>435</v>
      </c>
      <c r="D1234" s="95">
        <v>3215062</v>
      </c>
      <c r="E1234" s="95">
        <v>2</v>
      </c>
      <c r="F1234" s="95"/>
      <c r="G1234" s="95">
        <v>51100</v>
      </c>
      <c r="H1234" s="95" t="s">
        <v>43</v>
      </c>
      <c r="I1234" s="95" t="s">
        <v>464</v>
      </c>
      <c r="J1234" s="95" t="s">
        <v>465</v>
      </c>
      <c r="K1234" s="95" t="b">
        <v>1</v>
      </c>
      <c r="L1234" s="95">
        <v>10</v>
      </c>
      <c r="M1234" s="96">
        <v>2035</v>
      </c>
      <c r="N1234" s="97">
        <v>0</v>
      </c>
      <c r="O1234" s="98">
        <v>46020</v>
      </c>
      <c r="P1234" s="98">
        <v>46020</v>
      </c>
      <c r="Q1234" s="99">
        <v>0</v>
      </c>
    </row>
    <row r="1235" spans="1:17">
      <c r="A1235" s="7">
        <v>2025</v>
      </c>
      <c r="B1235" s="8" t="s">
        <v>434</v>
      </c>
      <c r="C1235" s="94" t="s">
        <v>435</v>
      </c>
      <c r="D1235" s="95">
        <v>3215062</v>
      </c>
      <c r="E1235" s="95">
        <v>2</v>
      </c>
      <c r="F1235" s="95"/>
      <c r="G1235" s="95">
        <v>51100</v>
      </c>
      <c r="H1235" s="95" t="s">
        <v>43</v>
      </c>
      <c r="I1235" s="95" t="s">
        <v>464</v>
      </c>
      <c r="J1235" s="95" t="s">
        <v>465</v>
      </c>
      <c r="K1235" s="95" t="b">
        <v>1</v>
      </c>
      <c r="L1235" s="95">
        <v>9</v>
      </c>
      <c r="M1235" s="96">
        <v>2034</v>
      </c>
      <c r="N1235" s="97">
        <v>0</v>
      </c>
      <c r="O1235" s="98">
        <v>46020</v>
      </c>
      <c r="P1235" s="98">
        <v>46020</v>
      </c>
      <c r="Q1235" s="99">
        <v>0</v>
      </c>
    </row>
    <row r="1236" spans="1:17">
      <c r="A1236" s="7">
        <v>2025</v>
      </c>
      <c r="B1236" s="8" t="s">
        <v>434</v>
      </c>
      <c r="C1236" s="94" t="s">
        <v>435</v>
      </c>
      <c r="D1236" s="95">
        <v>3215062</v>
      </c>
      <c r="E1236" s="95">
        <v>2</v>
      </c>
      <c r="F1236" s="95"/>
      <c r="G1236" s="95">
        <v>51100</v>
      </c>
      <c r="H1236" s="95" t="s">
        <v>43</v>
      </c>
      <c r="I1236" s="95" t="s">
        <v>464</v>
      </c>
      <c r="J1236" s="95" t="s">
        <v>465</v>
      </c>
      <c r="K1236" s="95" t="b">
        <v>1</v>
      </c>
      <c r="L1236" s="95">
        <v>6</v>
      </c>
      <c r="M1236" s="96">
        <v>2031</v>
      </c>
      <c r="N1236" s="97">
        <v>0</v>
      </c>
      <c r="O1236" s="98">
        <v>46020</v>
      </c>
      <c r="P1236" s="98">
        <v>46020</v>
      </c>
      <c r="Q1236" s="99">
        <v>0</v>
      </c>
    </row>
    <row r="1237" spans="1:17">
      <c r="A1237" s="7">
        <v>2025</v>
      </c>
      <c r="B1237" s="8" t="s">
        <v>434</v>
      </c>
      <c r="C1237" s="94" t="s">
        <v>435</v>
      </c>
      <c r="D1237" s="95">
        <v>3215062</v>
      </c>
      <c r="E1237" s="95">
        <v>2</v>
      </c>
      <c r="F1237" s="95"/>
      <c r="G1237" s="95">
        <v>51100</v>
      </c>
      <c r="H1237" s="95" t="s">
        <v>43</v>
      </c>
      <c r="I1237" s="95" t="s">
        <v>464</v>
      </c>
      <c r="J1237" s="95" t="s">
        <v>465</v>
      </c>
      <c r="K1237" s="95" t="b">
        <v>1</v>
      </c>
      <c r="L1237" s="95">
        <v>5</v>
      </c>
      <c r="M1237" s="96">
        <v>2030</v>
      </c>
      <c r="N1237" s="97">
        <v>0</v>
      </c>
      <c r="O1237" s="98">
        <v>46020</v>
      </c>
      <c r="P1237" s="98">
        <v>46020</v>
      </c>
      <c r="Q1237" s="99">
        <v>0</v>
      </c>
    </row>
    <row r="1238" spans="1:17">
      <c r="A1238" s="7">
        <v>2025</v>
      </c>
      <c r="B1238" s="8" t="s">
        <v>434</v>
      </c>
      <c r="C1238" s="94" t="s">
        <v>435</v>
      </c>
      <c r="D1238" s="95">
        <v>3215062</v>
      </c>
      <c r="E1238" s="95">
        <v>2</v>
      </c>
      <c r="F1238" s="95"/>
      <c r="G1238" s="95">
        <v>51100</v>
      </c>
      <c r="H1238" s="95" t="s">
        <v>43</v>
      </c>
      <c r="I1238" s="95" t="s">
        <v>464</v>
      </c>
      <c r="J1238" s="95" t="s">
        <v>465</v>
      </c>
      <c r="K1238" s="95" t="b">
        <v>1</v>
      </c>
      <c r="L1238" s="95">
        <v>11</v>
      </c>
      <c r="M1238" s="96">
        <v>2036</v>
      </c>
      <c r="N1238" s="97">
        <v>0</v>
      </c>
      <c r="O1238" s="98">
        <v>46020</v>
      </c>
      <c r="P1238" s="98">
        <v>46020</v>
      </c>
      <c r="Q1238" s="99">
        <v>0</v>
      </c>
    </row>
    <row r="1239" spans="1:17">
      <c r="A1239" s="7">
        <v>2025</v>
      </c>
      <c r="B1239" s="8" t="s">
        <v>434</v>
      </c>
      <c r="C1239" s="94" t="s">
        <v>435</v>
      </c>
      <c r="D1239" s="95">
        <v>3215062</v>
      </c>
      <c r="E1239" s="95">
        <v>2</v>
      </c>
      <c r="F1239" s="95"/>
      <c r="G1239" s="95">
        <v>22000</v>
      </c>
      <c r="H1239" s="95">
        <v>2.2000000000000002</v>
      </c>
      <c r="I1239" s="95"/>
      <c r="J1239" s="95" t="s">
        <v>128</v>
      </c>
      <c r="K1239" s="95" t="b">
        <v>0</v>
      </c>
      <c r="L1239" s="95">
        <v>11</v>
      </c>
      <c r="M1239" s="96">
        <v>2036</v>
      </c>
      <c r="N1239" s="97">
        <v>1650962</v>
      </c>
      <c r="O1239" s="98">
        <v>46020</v>
      </c>
      <c r="P1239" s="98">
        <v>46020</v>
      </c>
      <c r="Q1239" s="99">
        <v>0</v>
      </c>
    </row>
    <row r="1240" spans="1:17">
      <c r="A1240" s="7">
        <v>2025</v>
      </c>
      <c r="B1240" s="8" t="s">
        <v>434</v>
      </c>
      <c r="C1240" s="94" t="s">
        <v>435</v>
      </c>
      <c r="D1240" s="95">
        <v>3215062</v>
      </c>
      <c r="E1240" s="95">
        <v>2</v>
      </c>
      <c r="F1240" s="95"/>
      <c r="G1240" s="95">
        <v>22000</v>
      </c>
      <c r="H1240" s="95">
        <v>2.2000000000000002</v>
      </c>
      <c r="I1240" s="95"/>
      <c r="J1240" s="95" t="s">
        <v>128</v>
      </c>
      <c r="K1240" s="95" t="b">
        <v>0</v>
      </c>
      <c r="L1240" s="95">
        <v>8</v>
      </c>
      <c r="M1240" s="96">
        <v>2033</v>
      </c>
      <c r="N1240" s="97">
        <v>1156483.32</v>
      </c>
      <c r="O1240" s="98">
        <v>46020</v>
      </c>
      <c r="P1240" s="98">
        <v>46020</v>
      </c>
      <c r="Q1240" s="99">
        <v>0</v>
      </c>
    </row>
    <row r="1241" spans="1:17">
      <c r="A1241" s="7">
        <v>2025</v>
      </c>
      <c r="B1241" s="8" t="s">
        <v>434</v>
      </c>
      <c r="C1241" s="94" t="s">
        <v>435</v>
      </c>
      <c r="D1241" s="95">
        <v>3215062</v>
      </c>
      <c r="E1241" s="95">
        <v>2</v>
      </c>
      <c r="F1241" s="95"/>
      <c r="G1241" s="95">
        <v>22000</v>
      </c>
      <c r="H1241" s="95">
        <v>2.2000000000000002</v>
      </c>
      <c r="I1241" s="95"/>
      <c r="J1241" s="95" t="s">
        <v>128</v>
      </c>
      <c r="K1241" s="95" t="b">
        <v>0</v>
      </c>
      <c r="L1241" s="95">
        <v>10</v>
      </c>
      <c r="M1241" s="96">
        <v>2035</v>
      </c>
      <c r="N1241" s="97">
        <v>1518068</v>
      </c>
      <c r="O1241" s="98">
        <v>46020</v>
      </c>
      <c r="P1241" s="98">
        <v>46020</v>
      </c>
      <c r="Q1241" s="99">
        <v>0</v>
      </c>
    </row>
    <row r="1242" spans="1:17">
      <c r="A1242" s="7">
        <v>2025</v>
      </c>
      <c r="B1242" s="8" t="s">
        <v>434</v>
      </c>
      <c r="C1242" s="94" t="s">
        <v>435</v>
      </c>
      <c r="D1242" s="95">
        <v>3215062</v>
      </c>
      <c r="E1242" s="95">
        <v>2</v>
      </c>
      <c r="F1242" s="95"/>
      <c r="G1242" s="95">
        <v>22000</v>
      </c>
      <c r="H1242" s="95">
        <v>2.2000000000000002</v>
      </c>
      <c r="I1242" s="95"/>
      <c r="J1242" s="95" t="s">
        <v>128</v>
      </c>
      <c r="K1242" s="95" t="b">
        <v>0</v>
      </c>
      <c r="L1242" s="95">
        <v>9</v>
      </c>
      <c r="M1242" s="96">
        <v>2034</v>
      </c>
      <c r="N1242" s="97">
        <v>1205636.43</v>
      </c>
      <c r="O1242" s="98">
        <v>46020</v>
      </c>
      <c r="P1242" s="98">
        <v>46020</v>
      </c>
      <c r="Q1242" s="99">
        <v>0</v>
      </c>
    </row>
    <row r="1243" spans="1:17">
      <c r="A1243" s="7">
        <v>2025</v>
      </c>
      <c r="B1243" s="8" t="s">
        <v>434</v>
      </c>
      <c r="C1243" s="94" t="s">
        <v>435</v>
      </c>
      <c r="D1243" s="95">
        <v>3215062</v>
      </c>
      <c r="E1243" s="95">
        <v>2</v>
      </c>
      <c r="F1243" s="95"/>
      <c r="G1243" s="95">
        <v>22000</v>
      </c>
      <c r="H1243" s="95">
        <v>2.2000000000000002</v>
      </c>
      <c r="I1243" s="95"/>
      <c r="J1243" s="95" t="s">
        <v>128</v>
      </c>
      <c r="K1243" s="95" t="b">
        <v>0</v>
      </c>
      <c r="L1243" s="95">
        <v>0</v>
      </c>
      <c r="M1243" s="96">
        <v>2025</v>
      </c>
      <c r="N1243" s="97">
        <v>29576528.940000001</v>
      </c>
      <c r="O1243" s="98">
        <v>46020</v>
      </c>
      <c r="P1243" s="98">
        <v>46020</v>
      </c>
      <c r="Q1243" s="99">
        <v>0</v>
      </c>
    </row>
    <row r="1244" spans="1:17">
      <c r="A1244" s="7">
        <v>2025</v>
      </c>
      <c r="B1244" s="8" t="s">
        <v>434</v>
      </c>
      <c r="C1244" s="94" t="s">
        <v>435</v>
      </c>
      <c r="D1244" s="95">
        <v>3215062</v>
      </c>
      <c r="E1244" s="95">
        <v>2</v>
      </c>
      <c r="F1244" s="95"/>
      <c r="G1244" s="95">
        <v>22000</v>
      </c>
      <c r="H1244" s="95">
        <v>2.2000000000000002</v>
      </c>
      <c r="I1244" s="95"/>
      <c r="J1244" s="95" t="s">
        <v>128</v>
      </c>
      <c r="K1244" s="95" t="b">
        <v>0</v>
      </c>
      <c r="L1244" s="95">
        <v>13</v>
      </c>
      <c r="M1244" s="96">
        <v>2038</v>
      </c>
      <c r="N1244" s="97">
        <v>1985751</v>
      </c>
      <c r="O1244" s="98">
        <v>46020</v>
      </c>
      <c r="P1244" s="98">
        <v>46020</v>
      </c>
      <c r="Q1244" s="99">
        <v>0</v>
      </c>
    </row>
    <row r="1245" spans="1:17">
      <c r="A1245" s="7">
        <v>2025</v>
      </c>
      <c r="B1245" s="8" t="s">
        <v>434</v>
      </c>
      <c r="C1245" s="94" t="s">
        <v>435</v>
      </c>
      <c r="D1245" s="95">
        <v>3215062</v>
      </c>
      <c r="E1245" s="95">
        <v>2</v>
      </c>
      <c r="F1245" s="95"/>
      <c r="G1245" s="95">
        <v>22000</v>
      </c>
      <c r="H1245" s="95">
        <v>2.2000000000000002</v>
      </c>
      <c r="I1245" s="95"/>
      <c r="J1245" s="95" t="s">
        <v>128</v>
      </c>
      <c r="K1245" s="95" t="b">
        <v>0</v>
      </c>
      <c r="L1245" s="95">
        <v>3</v>
      </c>
      <c r="M1245" s="96">
        <v>2028</v>
      </c>
      <c r="N1245" s="97">
        <v>6000000</v>
      </c>
      <c r="O1245" s="98">
        <v>46020</v>
      </c>
      <c r="P1245" s="98">
        <v>46020</v>
      </c>
      <c r="Q1245" s="99">
        <v>0</v>
      </c>
    </row>
    <row r="1246" spans="1:17">
      <c r="A1246" s="7">
        <v>2025</v>
      </c>
      <c r="B1246" s="8" t="s">
        <v>434</v>
      </c>
      <c r="C1246" s="94" t="s">
        <v>435</v>
      </c>
      <c r="D1246" s="95">
        <v>3215062</v>
      </c>
      <c r="E1246" s="95">
        <v>2</v>
      </c>
      <c r="F1246" s="95"/>
      <c r="G1246" s="95">
        <v>22000</v>
      </c>
      <c r="H1246" s="95">
        <v>2.2000000000000002</v>
      </c>
      <c r="I1246" s="95"/>
      <c r="J1246" s="95" t="s">
        <v>128</v>
      </c>
      <c r="K1246" s="95" t="b">
        <v>0</v>
      </c>
      <c r="L1246" s="95">
        <v>5</v>
      </c>
      <c r="M1246" s="96">
        <v>2030</v>
      </c>
      <c r="N1246" s="97">
        <v>1840631</v>
      </c>
      <c r="O1246" s="98">
        <v>46020</v>
      </c>
      <c r="P1246" s="98">
        <v>46020</v>
      </c>
      <c r="Q1246" s="99">
        <v>0</v>
      </c>
    </row>
    <row r="1247" spans="1:17">
      <c r="A1247" s="7">
        <v>2025</v>
      </c>
      <c r="B1247" s="8" t="s">
        <v>434</v>
      </c>
      <c r="C1247" s="94" t="s">
        <v>435</v>
      </c>
      <c r="D1247" s="95">
        <v>3215062</v>
      </c>
      <c r="E1247" s="95">
        <v>2</v>
      </c>
      <c r="F1247" s="95"/>
      <c r="G1247" s="95">
        <v>22000</v>
      </c>
      <c r="H1247" s="95">
        <v>2.2000000000000002</v>
      </c>
      <c r="I1247" s="95"/>
      <c r="J1247" s="95" t="s">
        <v>128</v>
      </c>
      <c r="K1247" s="95" t="b">
        <v>0</v>
      </c>
      <c r="L1247" s="95">
        <v>4</v>
      </c>
      <c r="M1247" s="96">
        <v>2029</v>
      </c>
      <c r="N1247" s="97">
        <v>797256.49</v>
      </c>
      <c r="O1247" s="98">
        <v>46020</v>
      </c>
      <c r="P1247" s="98">
        <v>46020</v>
      </c>
      <c r="Q1247" s="99">
        <v>0</v>
      </c>
    </row>
    <row r="1248" spans="1:17">
      <c r="A1248" s="7">
        <v>2025</v>
      </c>
      <c r="B1248" s="8" t="s">
        <v>434</v>
      </c>
      <c r="C1248" s="94" t="s">
        <v>435</v>
      </c>
      <c r="D1248" s="95">
        <v>3215062</v>
      </c>
      <c r="E1248" s="95">
        <v>2</v>
      </c>
      <c r="F1248" s="95"/>
      <c r="G1248" s="95">
        <v>22000</v>
      </c>
      <c r="H1248" s="95">
        <v>2.2000000000000002</v>
      </c>
      <c r="I1248" s="95"/>
      <c r="J1248" s="95" t="s">
        <v>128</v>
      </c>
      <c r="K1248" s="95" t="b">
        <v>0</v>
      </c>
      <c r="L1248" s="95">
        <v>6</v>
      </c>
      <c r="M1248" s="96">
        <v>2031</v>
      </c>
      <c r="N1248" s="97">
        <v>1186923</v>
      </c>
      <c r="O1248" s="98">
        <v>46020</v>
      </c>
      <c r="P1248" s="98">
        <v>46020</v>
      </c>
      <c r="Q1248" s="99">
        <v>0</v>
      </c>
    </row>
    <row r="1249" spans="1:17">
      <c r="A1249" s="7">
        <v>2025</v>
      </c>
      <c r="B1249" s="8" t="s">
        <v>434</v>
      </c>
      <c r="C1249" s="94" t="s">
        <v>435</v>
      </c>
      <c r="D1249" s="95">
        <v>3215062</v>
      </c>
      <c r="E1249" s="95">
        <v>2</v>
      </c>
      <c r="F1249" s="95"/>
      <c r="G1249" s="95">
        <v>22000</v>
      </c>
      <c r="H1249" s="95">
        <v>2.2000000000000002</v>
      </c>
      <c r="I1249" s="95"/>
      <c r="J1249" s="95" t="s">
        <v>128</v>
      </c>
      <c r="K1249" s="95" t="b">
        <v>0</v>
      </c>
      <c r="L1249" s="95">
        <v>1</v>
      </c>
      <c r="M1249" s="96">
        <v>2026</v>
      </c>
      <c r="N1249" s="97">
        <v>16100000</v>
      </c>
      <c r="O1249" s="98">
        <v>46020</v>
      </c>
      <c r="P1249" s="98">
        <v>46020</v>
      </c>
      <c r="Q1249" s="99">
        <v>0</v>
      </c>
    </row>
    <row r="1250" spans="1:17">
      <c r="A1250" s="7">
        <v>2025</v>
      </c>
      <c r="B1250" s="8" t="s">
        <v>434</v>
      </c>
      <c r="C1250" s="94" t="s">
        <v>435</v>
      </c>
      <c r="D1250" s="95">
        <v>3215062</v>
      </c>
      <c r="E1250" s="95">
        <v>2</v>
      </c>
      <c r="F1250" s="95"/>
      <c r="G1250" s="95">
        <v>22000</v>
      </c>
      <c r="H1250" s="95">
        <v>2.2000000000000002</v>
      </c>
      <c r="I1250" s="95"/>
      <c r="J1250" s="95" t="s">
        <v>128</v>
      </c>
      <c r="K1250" s="95" t="b">
        <v>0</v>
      </c>
      <c r="L1250" s="95">
        <v>7</v>
      </c>
      <c r="M1250" s="96">
        <v>2032</v>
      </c>
      <c r="N1250" s="97">
        <v>1249777</v>
      </c>
      <c r="O1250" s="98">
        <v>46020</v>
      </c>
      <c r="P1250" s="98">
        <v>46020</v>
      </c>
      <c r="Q1250" s="99">
        <v>0</v>
      </c>
    </row>
    <row r="1251" spans="1:17">
      <c r="A1251" s="7">
        <v>2025</v>
      </c>
      <c r="B1251" s="8" t="s">
        <v>434</v>
      </c>
      <c r="C1251" s="94" t="s">
        <v>435</v>
      </c>
      <c r="D1251" s="95">
        <v>3215062</v>
      </c>
      <c r="E1251" s="95">
        <v>2</v>
      </c>
      <c r="F1251" s="95"/>
      <c r="G1251" s="95">
        <v>22000</v>
      </c>
      <c r="H1251" s="95">
        <v>2.2000000000000002</v>
      </c>
      <c r="I1251" s="95"/>
      <c r="J1251" s="95" t="s">
        <v>128</v>
      </c>
      <c r="K1251" s="95" t="b">
        <v>0</v>
      </c>
      <c r="L1251" s="95">
        <v>2</v>
      </c>
      <c r="M1251" s="96">
        <v>2027</v>
      </c>
      <c r="N1251" s="97">
        <v>12000000</v>
      </c>
      <c r="O1251" s="98">
        <v>46020</v>
      </c>
      <c r="P1251" s="98">
        <v>46020</v>
      </c>
      <c r="Q1251" s="99">
        <v>0</v>
      </c>
    </row>
    <row r="1252" spans="1:17">
      <c r="A1252" s="7">
        <v>2025</v>
      </c>
      <c r="B1252" s="8" t="s">
        <v>434</v>
      </c>
      <c r="C1252" s="94" t="s">
        <v>435</v>
      </c>
      <c r="D1252" s="95">
        <v>3215062</v>
      </c>
      <c r="E1252" s="95">
        <v>2</v>
      </c>
      <c r="F1252" s="95"/>
      <c r="G1252" s="95">
        <v>22000</v>
      </c>
      <c r="H1252" s="95">
        <v>2.2000000000000002</v>
      </c>
      <c r="I1252" s="95"/>
      <c r="J1252" s="95" t="s">
        <v>128</v>
      </c>
      <c r="K1252" s="95" t="b">
        <v>0</v>
      </c>
      <c r="L1252" s="95">
        <v>12</v>
      </c>
      <c r="M1252" s="96">
        <v>2037</v>
      </c>
      <c r="N1252" s="97">
        <v>1797796</v>
      </c>
      <c r="O1252" s="98">
        <v>46020</v>
      </c>
      <c r="P1252" s="98">
        <v>46020</v>
      </c>
      <c r="Q1252" s="99">
        <v>0</v>
      </c>
    </row>
    <row r="1253" spans="1:17">
      <c r="A1253" s="7">
        <v>2025</v>
      </c>
      <c r="B1253" s="8" t="s">
        <v>434</v>
      </c>
      <c r="C1253" s="94" t="s">
        <v>435</v>
      </c>
      <c r="D1253" s="95">
        <v>3215062</v>
      </c>
      <c r="E1253" s="95">
        <v>2</v>
      </c>
      <c r="F1253" s="95"/>
      <c r="G1253" s="95">
        <v>120000</v>
      </c>
      <c r="H1253" s="95">
        <v>12</v>
      </c>
      <c r="I1253" s="95"/>
      <c r="J1253" s="95" t="s">
        <v>466</v>
      </c>
      <c r="K1253" s="95" t="b">
        <v>1</v>
      </c>
      <c r="L1253" s="95">
        <v>13</v>
      </c>
      <c r="M1253" s="96">
        <v>2038</v>
      </c>
      <c r="N1253" s="97">
        <v>0</v>
      </c>
      <c r="O1253" s="98">
        <v>46020</v>
      </c>
      <c r="P1253" s="98">
        <v>46020</v>
      </c>
      <c r="Q1253" s="99">
        <v>0</v>
      </c>
    </row>
    <row r="1254" spans="1:17">
      <c r="A1254" s="7">
        <v>2025</v>
      </c>
      <c r="B1254" s="8" t="s">
        <v>434</v>
      </c>
      <c r="C1254" s="94" t="s">
        <v>435</v>
      </c>
      <c r="D1254" s="95">
        <v>3215062</v>
      </c>
      <c r="E1254" s="95">
        <v>2</v>
      </c>
      <c r="F1254" s="95"/>
      <c r="G1254" s="95">
        <v>120000</v>
      </c>
      <c r="H1254" s="95">
        <v>12</v>
      </c>
      <c r="I1254" s="95"/>
      <c r="J1254" s="95" t="s">
        <v>466</v>
      </c>
      <c r="K1254" s="95" t="b">
        <v>1</v>
      </c>
      <c r="L1254" s="95">
        <v>1</v>
      </c>
      <c r="M1254" s="96">
        <v>2026</v>
      </c>
      <c r="N1254" s="97">
        <v>0</v>
      </c>
      <c r="O1254" s="98">
        <v>46020</v>
      </c>
      <c r="P1254" s="98">
        <v>46020</v>
      </c>
      <c r="Q1254" s="99">
        <v>0</v>
      </c>
    </row>
    <row r="1255" spans="1:17">
      <c r="A1255" s="7">
        <v>2025</v>
      </c>
      <c r="B1255" s="8" t="s">
        <v>434</v>
      </c>
      <c r="C1255" s="94" t="s">
        <v>435</v>
      </c>
      <c r="D1255" s="95">
        <v>3215062</v>
      </c>
      <c r="E1255" s="95">
        <v>2</v>
      </c>
      <c r="F1255" s="95"/>
      <c r="G1255" s="95">
        <v>120000</v>
      </c>
      <c r="H1255" s="95">
        <v>12</v>
      </c>
      <c r="I1255" s="95"/>
      <c r="J1255" s="95" t="s">
        <v>466</v>
      </c>
      <c r="K1255" s="95" t="b">
        <v>1</v>
      </c>
      <c r="L1255" s="95">
        <v>2</v>
      </c>
      <c r="M1255" s="96">
        <v>2027</v>
      </c>
      <c r="N1255" s="97">
        <v>0</v>
      </c>
      <c r="O1255" s="98">
        <v>46020</v>
      </c>
      <c r="P1255" s="98">
        <v>46020</v>
      </c>
      <c r="Q1255" s="99">
        <v>0</v>
      </c>
    </row>
    <row r="1256" spans="1:17">
      <c r="A1256" s="7">
        <v>2025</v>
      </c>
      <c r="B1256" s="8" t="s">
        <v>434</v>
      </c>
      <c r="C1256" s="94" t="s">
        <v>435</v>
      </c>
      <c r="D1256" s="95">
        <v>3215062</v>
      </c>
      <c r="E1256" s="95">
        <v>2</v>
      </c>
      <c r="F1256" s="95"/>
      <c r="G1256" s="95">
        <v>120000</v>
      </c>
      <c r="H1256" s="95">
        <v>12</v>
      </c>
      <c r="I1256" s="95"/>
      <c r="J1256" s="95" t="s">
        <v>466</v>
      </c>
      <c r="K1256" s="95" t="b">
        <v>1</v>
      </c>
      <c r="L1256" s="95">
        <v>5</v>
      </c>
      <c r="M1256" s="96">
        <v>2030</v>
      </c>
      <c r="N1256" s="97">
        <v>0</v>
      </c>
      <c r="O1256" s="98">
        <v>46020</v>
      </c>
      <c r="P1256" s="98">
        <v>46020</v>
      </c>
      <c r="Q1256" s="99">
        <v>0</v>
      </c>
    </row>
    <row r="1257" spans="1:17">
      <c r="A1257" s="7">
        <v>2025</v>
      </c>
      <c r="B1257" s="8" t="s">
        <v>434</v>
      </c>
      <c r="C1257" s="94" t="s">
        <v>435</v>
      </c>
      <c r="D1257" s="95">
        <v>3215062</v>
      </c>
      <c r="E1257" s="95">
        <v>2</v>
      </c>
      <c r="F1257" s="95"/>
      <c r="G1257" s="95">
        <v>120000</v>
      </c>
      <c r="H1257" s="95">
        <v>12</v>
      </c>
      <c r="I1257" s="95"/>
      <c r="J1257" s="95" t="s">
        <v>466</v>
      </c>
      <c r="K1257" s="95" t="b">
        <v>1</v>
      </c>
      <c r="L1257" s="95">
        <v>6</v>
      </c>
      <c r="M1257" s="96">
        <v>2031</v>
      </c>
      <c r="N1257" s="97">
        <v>0</v>
      </c>
      <c r="O1257" s="98">
        <v>46020</v>
      </c>
      <c r="P1257" s="98">
        <v>46020</v>
      </c>
      <c r="Q1257" s="99">
        <v>0</v>
      </c>
    </row>
    <row r="1258" spans="1:17">
      <c r="A1258" s="7">
        <v>2025</v>
      </c>
      <c r="B1258" s="8" t="s">
        <v>434</v>
      </c>
      <c r="C1258" s="94" t="s">
        <v>435</v>
      </c>
      <c r="D1258" s="95">
        <v>3215062</v>
      </c>
      <c r="E1258" s="95">
        <v>2</v>
      </c>
      <c r="F1258" s="95"/>
      <c r="G1258" s="95">
        <v>120000</v>
      </c>
      <c r="H1258" s="95">
        <v>12</v>
      </c>
      <c r="I1258" s="95"/>
      <c r="J1258" s="95" t="s">
        <v>466</v>
      </c>
      <c r="K1258" s="95" t="b">
        <v>1</v>
      </c>
      <c r="L1258" s="95">
        <v>8</v>
      </c>
      <c r="M1258" s="96">
        <v>2033</v>
      </c>
      <c r="N1258" s="97">
        <v>0</v>
      </c>
      <c r="O1258" s="98">
        <v>46020</v>
      </c>
      <c r="P1258" s="98">
        <v>46020</v>
      </c>
      <c r="Q1258" s="99">
        <v>0</v>
      </c>
    </row>
    <row r="1259" spans="1:17">
      <c r="A1259" s="7">
        <v>2025</v>
      </c>
      <c r="B1259" s="8" t="s">
        <v>434</v>
      </c>
      <c r="C1259" s="94" t="s">
        <v>435</v>
      </c>
      <c r="D1259" s="95">
        <v>3215062</v>
      </c>
      <c r="E1259" s="95">
        <v>2</v>
      </c>
      <c r="F1259" s="95"/>
      <c r="G1259" s="95">
        <v>120000</v>
      </c>
      <c r="H1259" s="95">
        <v>12</v>
      </c>
      <c r="I1259" s="95"/>
      <c r="J1259" s="95" t="s">
        <v>466</v>
      </c>
      <c r="K1259" s="95" t="b">
        <v>1</v>
      </c>
      <c r="L1259" s="95">
        <v>11</v>
      </c>
      <c r="M1259" s="96">
        <v>2036</v>
      </c>
      <c r="N1259" s="97">
        <v>0</v>
      </c>
      <c r="O1259" s="98">
        <v>46020</v>
      </c>
      <c r="P1259" s="98">
        <v>46020</v>
      </c>
      <c r="Q1259" s="99">
        <v>0</v>
      </c>
    </row>
    <row r="1260" spans="1:17">
      <c r="A1260" s="7">
        <v>2025</v>
      </c>
      <c r="B1260" s="8" t="s">
        <v>434</v>
      </c>
      <c r="C1260" s="94" t="s">
        <v>435</v>
      </c>
      <c r="D1260" s="95">
        <v>3215062</v>
      </c>
      <c r="E1260" s="95">
        <v>2</v>
      </c>
      <c r="F1260" s="95"/>
      <c r="G1260" s="95">
        <v>120000</v>
      </c>
      <c r="H1260" s="95">
        <v>12</v>
      </c>
      <c r="I1260" s="95"/>
      <c r="J1260" s="95" t="s">
        <v>466</v>
      </c>
      <c r="K1260" s="95" t="b">
        <v>1</v>
      </c>
      <c r="L1260" s="95">
        <v>10</v>
      </c>
      <c r="M1260" s="96">
        <v>2035</v>
      </c>
      <c r="N1260" s="97">
        <v>0</v>
      </c>
      <c r="O1260" s="98">
        <v>46020</v>
      </c>
      <c r="P1260" s="98">
        <v>46020</v>
      </c>
      <c r="Q1260" s="99">
        <v>0</v>
      </c>
    </row>
    <row r="1261" spans="1:17">
      <c r="A1261" s="7">
        <v>2025</v>
      </c>
      <c r="B1261" s="8" t="s">
        <v>434</v>
      </c>
      <c r="C1261" s="94" t="s">
        <v>435</v>
      </c>
      <c r="D1261" s="95">
        <v>3215062</v>
      </c>
      <c r="E1261" s="95">
        <v>2</v>
      </c>
      <c r="F1261" s="95"/>
      <c r="G1261" s="95">
        <v>120000</v>
      </c>
      <c r="H1261" s="95">
        <v>12</v>
      </c>
      <c r="I1261" s="95"/>
      <c r="J1261" s="95" t="s">
        <v>466</v>
      </c>
      <c r="K1261" s="95" t="b">
        <v>1</v>
      </c>
      <c r="L1261" s="95">
        <v>7</v>
      </c>
      <c r="M1261" s="96">
        <v>2032</v>
      </c>
      <c r="N1261" s="97">
        <v>0</v>
      </c>
      <c r="O1261" s="98">
        <v>46020</v>
      </c>
      <c r="P1261" s="98">
        <v>46020</v>
      </c>
      <c r="Q1261" s="99">
        <v>0</v>
      </c>
    </row>
    <row r="1262" spans="1:17">
      <c r="A1262" s="7">
        <v>2025</v>
      </c>
      <c r="B1262" s="8" t="s">
        <v>434</v>
      </c>
      <c r="C1262" s="94" t="s">
        <v>435</v>
      </c>
      <c r="D1262" s="95">
        <v>3215062</v>
      </c>
      <c r="E1262" s="95">
        <v>2</v>
      </c>
      <c r="F1262" s="95"/>
      <c r="G1262" s="95">
        <v>120000</v>
      </c>
      <c r="H1262" s="95">
        <v>12</v>
      </c>
      <c r="I1262" s="95"/>
      <c r="J1262" s="95" t="s">
        <v>466</v>
      </c>
      <c r="K1262" s="95" t="b">
        <v>1</v>
      </c>
      <c r="L1262" s="95">
        <v>0</v>
      </c>
      <c r="M1262" s="96">
        <v>2025</v>
      </c>
      <c r="N1262" s="97">
        <v>0</v>
      </c>
      <c r="O1262" s="98">
        <v>46020</v>
      </c>
      <c r="P1262" s="98">
        <v>46020</v>
      </c>
      <c r="Q1262" s="99">
        <v>0</v>
      </c>
    </row>
    <row r="1263" spans="1:17">
      <c r="A1263" s="7">
        <v>2025</v>
      </c>
      <c r="B1263" s="8" t="s">
        <v>434</v>
      </c>
      <c r="C1263" s="94" t="s">
        <v>435</v>
      </c>
      <c r="D1263" s="95">
        <v>3215062</v>
      </c>
      <c r="E1263" s="95">
        <v>2</v>
      </c>
      <c r="F1263" s="95"/>
      <c r="G1263" s="95">
        <v>120000</v>
      </c>
      <c r="H1263" s="95">
        <v>12</v>
      </c>
      <c r="I1263" s="95"/>
      <c r="J1263" s="95" t="s">
        <v>466</v>
      </c>
      <c r="K1263" s="95" t="b">
        <v>1</v>
      </c>
      <c r="L1263" s="95">
        <v>12</v>
      </c>
      <c r="M1263" s="96">
        <v>2037</v>
      </c>
      <c r="N1263" s="97">
        <v>0</v>
      </c>
      <c r="O1263" s="98">
        <v>46020</v>
      </c>
      <c r="P1263" s="98">
        <v>46020</v>
      </c>
      <c r="Q1263" s="99">
        <v>0</v>
      </c>
    </row>
    <row r="1264" spans="1:17">
      <c r="A1264" s="7">
        <v>2025</v>
      </c>
      <c r="B1264" s="8" t="s">
        <v>434</v>
      </c>
      <c r="C1264" s="94" t="s">
        <v>435</v>
      </c>
      <c r="D1264" s="95">
        <v>3215062</v>
      </c>
      <c r="E1264" s="95">
        <v>2</v>
      </c>
      <c r="F1264" s="95"/>
      <c r="G1264" s="95">
        <v>120000</v>
      </c>
      <c r="H1264" s="95">
        <v>12</v>
      </c>
      <c r="I1264" s="95"/>
      <c r="J1264" s="95" t="s">
        <v>466</v>
      </c>
      <c r="K1264" s="95" t="b">
        <v>1</v>
      </c>
      <c r="L1264" s="95">
        <v>4</v>
      </c>
      <c r="M1264" s="96">
        <v>2029</v>
      </c>
      <c r="N1264" s="97">
        <v>0</v>
      </c>
      <c r="O1264" s="98">
        <v>46020</v>
      </c>
      <c r="P1264" s="98">
        <v>46020</v>
      </c>
      <c r="Q1264" s="99">
        <v>0</v>
      </c>
    </row>
    <row r="1265" spans="1:17">
      <c r="A1265" s="7">
        <v>2025</v>
      </c>
      <c r="B1265" s="8" t="s">
        <v>434</v>
      </c>
      <c r="C1265" s="94" t="s">
        <v>435</v>
      </c>
      <c r="D1265" s="95">
        <v>3215062</v>
      </c>
      <c r="E1265" s="95">
        <v>2</v>
      </c>
      <c r="F1265" s="95"/>
      <c r="G1265" s="95">
        <v>120000</v>
      </c>
      <c r="H1265" s="95">
        <v>12</v>
      </c>
      <c r="I1265" s="95"/>
      <c r="J1265" s="95" t="s">
        <v>466</v>
      </c>
      <c r="K1265" s="95" t="b">
        <v>1</v>
      </c>
      <c r="L1265" s="95">
        <v>9</v>
      </c>
      <c r="M1265" s="96">
        <v>2034</v>
      </c>
      <c r="N1265" s="97">
        <v>0</v>
      </c>
      <c r="O1265" s="98">
        <v>46020</v>
      </c>
      <c r="P1265" s="98">
        <v>46020</v>
      </c>
      <c r="Q1265" s="99">
        <v>0</v>
      </c>
    </row>
    <row r="1266" spans="1:17">
      <c r="A1266" s="7">
        <v>2025</v>
      </c>
      <c r="B1266" s="8" t="s">
        <v>434</v>
      </c>
      <c r="C1266" s="94" t="s">
        <v>435</v>
      </c>
      <c r="D1266" s="95">
        <v>3215062</v>
      </c>
      <c r="E1266" s="95">
        <v>2</v>
      </c>
      <c r="F1266" s="95"/>
      <c r="G1266" s="95">
        <v>120000</v>
      </c>
      <c r="H1266" s="95">
        <v>12</v>
      </c>
      <c r="I1266" s="95"/>
      <c r="J1266" s="95" t="s">
        <v>466</v>
      </c>
      <c r="K1266" s="95" t="b">
        <v>1</v>
      </c>
      <c r="L1266" s="95">
        <v>3</v>
      </c>
      <c r="M1266" s="96">
        <v>2028</v>
      </c>
      <c r="N1266" s="97">
        <v>0</v>
      </c>
      <c r="O1266" s="98">
        <v>46020</v>
      </c>
      <c r="P1266" s="98">
        <v>46020</v>
      </c>
      <c r="Q1266" s="99">
        <v>0</v>
      </c>
    </row>
    <row r="1267" spans="1:17">
      <c r="A1267" s="7">
        <v>2025</v>
      </c>
      <c r="B1267" s="8" t="s">
        <v>434</v>
      </c>
      <c r="C1267" s="94" t="s">
        <v>435</v>
      </c>
      <c r="D1267" s="95">
        <v>3215062</v>
      </c>
      <c r="E1267" s="95">
        <v>2</v>
      </c>
      <c r="F1267" s="95"/>
      <c r="G1267" s="95">
        <v>92000</v>
      </c>
      <c r="H1267" s="95">
        <v>9.1999999999999993</v>
      </c>
      <c r="I1267" s="95"/>
      <c r="J1267" s="95" t="s">
        <v>165</v>
      </c>
      <c r="K1267" s="95" t="b">
        <v>0</v>
      </c>
      <c r="L1267" s="95">
        <v>3</v>
      </c>
      <c r="M1267" s="96">
        <v>2028</v>
      </c>
      <c r="N1267" s="97">
        <v>0</v>
      </c>
      <c r="O1267" s="98">
        <v>46020</v>
      </c>
      <c r="P1267" s="98">
        <v>46020</v>
      </c>
      <c r="Q1267" s="99">
        <v>0</v>
      </c>
    </row>
    <row r="1268" spans="1:17">
      <c r="A1268" s="7">
        <v>2025</v>
      </c>
      <c r="B1268" s="8" t="s">
        <v>434</v>
      </c>
      <c r="C1268" s="94" t="s">
        <v>435</v>
      </c>
      <c r="D1268" s="95">
        <v>3215062</v>
      </c>
      <c r="E1268" s="95">
        <v>2</v>
      </c>
      <c r="F1268" s="95"/>
      <c r="G1268" s="95">
        <v>92000</v>
      </c>
      <c r="H1268" s="95">
        <v>9.1999999999999993</v>
      </c>
      <c r="I1268" s="95"/>
      <c r="J1268" s="95" t="s">
        <v>165</v>
      </c>
      <c r="K1268" s="95" t="b">
        <v>0</v>
      </c>
      <c r="L1268" s="95">
        <v>11</v>
      </c>
      <c r="M1268" s="96">
        <v>2036</v>
      </c>
      <c r="N1268" s="97">
        <v>0</v>
      </c>
      <c r="O1268" s="98">
        <v>46020</v>
      </c>
      <c r="P1268" s="98">
        <v>46020</v>
      </c>
      <c r="Q1268" s="99">
        <v>0</v>
      </c>
    </row>
    <row r="1269" spans="1:17">
      <c r="A1269" s="7">
        <v>2025</v>
      </c>
      <c r="B1269" s="8" t="s">
        <v>434</v>
      </c>
      <c r="C1269" s="94" t="s">
        <v>435</v>
      </c>
      <c r="D1269" s="95">
        <v>3215062</v>
      </c>
      <c r="E1269" s="95">
        <v>2</v>
      </c>
      <c r="F1269" s="95"/>
      <c r="G1269" s="95">
        <v>92000</v>
      </c>
      <c r="H1269" s="95">
        <v>9.1999999999999993</v>
      </c>
      <c r="I1269" s="95"/>
      <c r="J1269" s="95" t="s">
        <v>165</v>
      </c>
      <c r="K1269" s="95" t="b">
        <v>0</v>
      </c>
      <c r="L1269" s="95">
        <v>5</v>
      </c>
      <c r="M1269" s="96">
        <v>2030</v>
      </c>
      <c r="N1269" s="97">
        <v>0</v>
      </c>
      <c r="O1269" s="98">
        <v>46020</v>
      </c>
      <c r="P1269" s="98">
        <v>46020</v>
      </c>
      <c r="Q1269" s="99">
        <v>0</v>
      </c>
    </row>
    <row r="1270" spans="1:17">
      <c r="A1270" s="7">
        <v>2025</v>
      </c>
      <c r="B1270" s="8" t="s">
        <v>434</v>
      </c>
      <c r="C1270" s="94" t="s">
        <v>435</v>
      </c>
      <c r="D1270" s="95">
        <v>3215062</v>
      </c>
      <c r="E1270" s="95">
        <v>2</v>
      </c>
      <c r="F1270" s="95"/>
      <c r="G1270" s="95">
        <v>92000</v>
      </c>
      <c r="H1270" s="95">
        <v>9.1999999999999993</v>
      </c>
      <c r="I1270" s="95"/>
      <c r="J1270" s="95" t="s">
        <v>165</v>
      </c>
      <c r="K1270" s="95" t="b">
        <v>0</v>
      </c>
      <c r="L1270" s="95">
        <v>13</v>
      </c>
      <c r="M1270" s="96">
        <v>2038</v>
      </c>
      <c r="N1270" s="97">
        <v>0</v>
      </c>
      <c r="O1270" s="98">
        <v>46020</v>
      </c>
      <c r="P1270" s="98">
        <v>46020</v>
      </c>
      <c r="Q1270" s="99">
        <v>0</v>
      </c>
    </row>
    <row r="1271" spans="1:17">
      <c r="A1271" s="7">
        <v>2025</v>
      </c>
      <c r="B1271" s="8" t="s">
        <v>434</v>
      </c>
      <c r="C1271" s="94" t="s">
        <v>435</v>
      </c>
      <c r="D1271" s="95">
        <v>3215062</v>
      </c>
      <c r="E1271" s="95">
        <v>2</v>
      </c>
      <c r="F1271" s="95"/>
      <c r="G1271" s="95">
        <v>92000</v>
      </c>
      <c r="H1271" s="95">
        <v>9.1999999999999993</v>
      </c>
      <c r="I1271" s="95"/>
      <c r="J1271" s="95" t="s">
        <v>165</v>
      </c>
      <c r="K1271" s="95" t="b">
        <v>0</v>
      </c>
      <c r="L1271" s="95">
        <v>2</v>
      </c>
      <c r="M1271" s="96">
        <v>2027</v>
      </c>
      <c r="N1271" s="97">
        <v>1165072.99</v>
      </c>
      <c r="O1271" s="98">
        <v>46020</v>
      </c>
      <c r="P1271" s="98">
        <v>46020</v>
      </c>
      <c r="Q1271" s="99">
        <v>0</v>
      </c>
    </row>
    <row r="1272" spans="1:17">
      <c r="A1272" s="7">
        <v>2025</v>
      </c>
      <c r="B1272" s="8" t="s">
        <v>434</v>
      </c>
      <c r="C1272" s="94" t="s">
        <v>435</v>
      </c>
      <c r="D1272" s="95">
        <v>3215062</v>
      </c>
      <c r="E1272" s="95">
        <v>2</v>
      </c>
      <c r="F1272" s="95"/>
      <c r="G1272" s="95">
        <v>92000</v>
      </c>
      <c r="H1272" s="95">
        <v>9.1999999999999993</v>
      </c>
      <c r="I1272" s="95"/>
      <c r="J1272" s="95" t="s">
        <v>165</v>
      </c>
      <c r="K1272" s="95" t="b">
        <v>0</v>
      </c>
      <c r="L1272" s="95">
        <v>12</v>
      </c>
      <c r="M1272" s="96">
        <v>2037</v>
      </c>
      <c r="N1272" s="97">
        <v>0</v>
      </c>
      <c r="O1272" s="98">
        <v>46020</v>
      </c>
      <c r="P1272" s="98">
        <v>46020</v>
      </c>
      <c r="Q1272" s="99">
        <v>0</v>
      </c>
    </row>
    <row r="1273" spans="1:17">
      <c r="A1273" s="7">
        <v>2025</v>
      </c>
      <c r="B1273" s="8" t="s">
        <v>434</v>
      </c>
      <c r="C1273" s="94" t="s">
        <v>435</v>
      </c>
      <c r="D1273" s="95">
        <v>3215062</v>
      </c>
      <c r="E1273" s="95">
        <v>2</v>
      </c>
      <c r="F1273" s="95"/>
      <c r="G1273" s="95">
        <v>92000</v>
      </c>
      <c r="H1273" s="95">
        <v>9.1999999999999993</v>
      </c>
      <c r="I1273" s="95"/>
      <c r="J1273" s="95" t="s">
        <v>165</v>
      </c>
      <c r="K1273" s="95" t="b">
        <v>0</v>
      </c>
      <c r="L1273" s="95">
        <v>8</v>
      </c>
      <c r="M1273" s="96">
        <v>2033</v>
      </c>
      <c r="N1273" s="97">
        <v>0</v>
      </c>
      <c r="O1273" s="98">
        <v>46020</v>
      </c>
      <c r="P1273" s="98">
        <v>46020</v>
      </c>
      <c r="Q1273" s="99">
        <v>0</v>
      </c>
    </row>
    <row r="1274" spans="1:17">
      <c r="A1274" s="7">
        <v>2025</v>
      </c>
      <c r="B1274" s="8" t="s">
        <v>434</v>
      </c>
      <c r="C1274" s="94" t="s">
        <v>435</v>
      </c>
      <c r="D1274" s="95">
        <v>3215062</v>
      </c>
      <c r="E1274" s="95">
        <v>2</v>
      </c>
      <c r="F1274" s="95"/>
      <c r="G1274" s="95">
        <v>92000</v>
      </c>
      <c r="H1274" s="95">
        <v>9.1999999999999993</v>
      </c>
      <c r="I1274" s="95"/>
      <c r="J1274" s="95" t="s">
        <v>165</v>
      </c>
      <c r="K1274" s="95" t="b">
        <v>0</v>
      </c>
      <c r="L1274" s="95">
        <v>1</v>
      </c>
      <c r="M1274" s="96">
        <v>2026</v>
      </c>
      <c r="N1274" s="97">
        <v>1552699.54</v>
      </c>
      <c r="O1274" s="98">
        <v>46020</v>
      </c>
      <c r="P1274" s="98">
        <v>46020</v>
      </c>
      <c r="Q1274" s="99">
        <v>0</v>
      </c>
    </row>
    <row r="1275" spans="1:17">
      <c r="A1275" s="7">
        <v>2025</v>
      </c>
      <c r="B1275" s="8" t="s">
        <v>434</v>
      </c>
      <c r="C1275" s="94" t="s">
        <v>435</v>
      </c>
      <c r="D1275" s="95">
        <v>3215062</v>
      </c>
      <c r="E1275" s="95">
        <v>2</v>
      </c>
      <c r="F1275" s="95"/>
      <c r="G1275" s="95">
        <v>92000</v>
      </c>
      <c r="H1275" s="95">
        <v>9.1999999999999993</v>
      </c>
      <c r="I1275" s="95"/>
      <c r="J1275" s="95" t="s">
        <v>165</v>
      </c>
      <c r="K1275" s="95" t="b">
        <v>0</v>
      </c>
      <c r="L1275" s="95">
        <v>4</v>
      </c>
      <c r="M1275" s="96">
        <v>2029</v>
      </c>
      <c r="N1275" s="97">
        <v>0</v>
      </c>
      <c r="O1275" s="98">
        <v>46020</v>
      </c>
      <c r="P1275" s="98">
        <v>46020</v>
      </c>
      <c r="Q1275" s="99">
        <v>0</v>
      </c>
    </row>
    <row r="1276" spans="1:17">
      <c r="A1276" s="7">
        <v>2025</v>
      </c>
      <c r="B1276" s="8" t="s">
        <v>434</v>
      </c>
      <c r="C1276" s="94" t="s">
        <v>435</v>
      </c>
      <c r="D1276" s="95">
        <v>3215062</v>
      </c>
      <c r="E1276" s="95">
        <v>2</v>
      </c>
      <c r="F1276" s="95"/>
      <c r="G1276" s="95">
        <v>92000</v>
      </c>
      <c r="H1276" s="95">
        <v>9.1999999999999993</v>
      </c>
      <c r="I1276" s="95"/>
      <c r="J1276" s="95" t="s">
        <v>165</v>
      </c>
      <c r="K1276" s="95" t="b">
        <v>0</v>
      </c>
      <c r="L1276" s="95">
        <v>9</v>
      </c>
      <c r="M1276" s="96">
        <v>2034</v>
      </c>
      <c r="N1276" s="97">
        <v>0</v>
      </c>
      <c r="O1276" s="98">
        <v>46020</v>
      </c>
      <c r="P1276" s="98">
        <v>46020</v>
      </c>
      <c r="Q1276" s="99">
        <v>0</v>
      </c>
    </row>
    <row r="1277" spans="1:17">
      <c r="A1277" s="7">
        <v>2025</v>
      </c>
      <c r="B1277" s="8" t="s">
        <v>434</v>
      </c>
      <c r="C1277" s="94" t="s">
        <v>435</v>
      </c>
      <c r="D1277" s="95">
        <v>3215062</v>
      </c>
      <c r="E1277" s="95">
        <v>2</v>
      </c>
      <c r="F1277" s="95"/>
      <c r="G1277" s="95">
        <v>92000</v>
      </c>
      <c r="H1277" s="95">
        <v>9.1999999999999993</v>
      </c>
      <c r="I1277" s="95"/>
      <c r="J1277" s="95" t="s">
        <v>165</v>
      </c>
      <c r="K1277" s="95" t="b">
        <v>0</v>
      </c>
      <c r="L1277" s="95">
        <v>6</v>
      </c>
      <c r="M1277" s="96">
        <v>2031</v>
      </c>
      <c r="N1277" s="97">
        <v>0</v>
      </c>
      <c r="O1277" s="98">
        <v>46020</v>
      </c>
      <c r="P1277" s="98">
        <v>46020</v>
      </c>
      <c r="Q1277" s="99">
        <v>0</v>
      </c>
    </row>
    <row r="1278" spans="1:17">
      <c r="A1278" s="7">
        <v>2025</v>
      </c>
      <c r="B1278" s="8" t="s">
        <v>434</v>
      </c>
      <c r="C1278" s="94" t="s">
        <v>435</v>
      </c>
      <c r="D1278" s="95">
        <v>3215062</v>
      </c>
      <c r="E1278" s="95">
        <v>2</v>
      </c>
      <c r="F1278" s="95"/>
      <c r="G1278" s="95">
        <v>92000</v>
      </c>
      <c r="H1278" s="95">
        <v>9.1999999999999993</v>
      </c>
      <c r="I1278" s="95"/>
      <c r="J1278" s="95" t="s">
        <v>165</v>
      </c>
      <c r="K1278" s="95" t="b">
        <v>0</v>
      </c>
      <c r="L1278" s="95">
        <v>0</v>
      </c>
      <c r="M1278" s="96">
        <v>2025</v>
      </c>
      <c r="N1278" s="97">
        <v>3878079.42</v>
      </c>
      <c r="O1278" s="98">
        <v>46020</v>
      </c>
      <c r="P1278" s="98">
        <v>46020</v>
      </c>
      <c r="Q1278" s="99">
        <v>0</v>
      </c>
    </row>
    <row r="1279" spans="1:17">
      <c r="A1279" s="7">
        <v>2025</v>
      </c>
      <c r="B1279" s="8" t="s">
        <v>434</v>
      </c>
      <c r="C1279" s="94" t="s">
        <v>435</v>
      </c>
      <c r="D1279" s="95">
        <v>3215062</v>
      </c>
      <c r="E1279" s="95">
        <v>2</v>
      </c>
      <c r="F1279" s="95"/>
      <c r="G1279" s="95">
        <v>92000</v>
      </c>
      <c r="H1279" s="95">
        <v>9.1999999999999993</v>
      </c>
      <c r="I1279" s="95"/>
      <c r="J1279" s="95" t="s">
        <v>165</v>
      </c>
      <c r="K1279" s="95" t="b">
        <v>0</v>
      </c>
      <c r="L1279" s="95">
        <v>7</v>
      </c>
      <c r="M1279" s="96">
        <v>2032</v>
      </c>
      <c r="N1279" s="97">
        <v>0</v>
      </c>
      <c r="O1279" s="98">
        <v>46020</v>
      </c>
      <c r="P1279" s="98">
        <v>46020</v>
      </c>
      <c r="Q1279" s="99">
        <v>0</v>
      </c>
    </row>
    <row r="1280" spans="1:17">
      <c r="A1280" s="7">
        <v>2025</v>
      </c>
      <c r="B1280" s="8" t="s">
        <v>434</v>
      </c>
      <c r="C1280" s="94" t="s">
        <v>435</v>
      </c>
      <c r="D1280" s="95">
        <v>3215062</v>
      </c>
      <c r="E1280" s="95">
        <v>2</v>
      </c>
      <c r="F1280" s="95"/>
      <c r="G1280" s="95">
        <v>92000</v>
      </c>
      <c r="H1280" s="95">
        <v>9.1999999999999993</v>
      </c>
      <c r="I1280" s="95"/>
      <c r="J1280" s="95" t="s">
        <v>165</v>
      </c>
      <c r="K1280" s="95" t="b">
        <v>0</v>
      </c>
      <c r="L1280" s="95">
        <v>10</v>
      </c>
      <c r="M1280" s="96">
        <v>2035</v>
      </c>
      <c r="N1280" s="97">
        <v>0</v>
      </c>
      <c r="O1280" s="98">
        <v>46020</v>
      </c>
      <c r="P1280" s="98">
        <v>46020</v>
      </c>
      <c r="Q1280" s="99">
        <v>0</v>
      </c>
    </row>
    <row r="1281" spans="1:17">
      <c r="A1281" s="7">
        <v>2025</v>
      </c>
      <c r="B1281" s="8" t="s">
        <v>434</v>
      </c>
      <c r="C1281" s="94" t="s">
        <v>435</v>
      </c>
      <c r="D1281" s="95">
        <v>3215062</v>
      </c>
      <c r="E1281" s="95">
        <v>2</v>
      </c>
      <c r="F1281" s="95"/>
      <c r="G1281" s="95">
        <v>111000</v>
      </c>
      <c r="H1281" s="95">
        <v>11.1</v>
      </c>
      <c r="I1281" s="95"/>
      <c r="J1281" s="95" t="s">
        <v>467</v>
      </c>
      <c r="K1281" s="95" t="b">
        <v>1</v>
      </c>
      <c r="L1281" s="95">
        <v>6</v>
      </c>
      <c r="M1281" s="96">
        <v>2031</v>
      </c>
      <c r="N1281" s="97">
        <v>0</v>
      </c>
      <c r="O1281" s="98">
        <v>46020</v>
      </c>
      <c r="P1281" s="98">
        <v>46020</v>
      </c>
      <c r="Q1281" s="99">
        <v>0</v>
      </c>
    </row>
    <row r="1282" spans="1:17">
      <c r="A1282" s="7">
        <v>2025</v>
      </c>
      <c r="B1282" s="8" t="s">
        <v>434</v>
      </c>
      <c r="C1282" s="94" t="s">
        <v>435</v>
      </c>
      <c r="D1282" s="95">
        <v>3215062</v>
      </c>
      <c r="E1282" s="95">
        <v>2</v>
      </c>
      <c r="F1282" s="95"/>
      <c r="G1282" s="95">
        <v>111000</v>
      </c>
      <c r="H1282" s="95">
        <v>11.1</v>
      </c>
      <c r="I1282" s="95"/>
      <c r="J1282" s="95" t="s">
        <v>467</v>
      </c>
      <c r="K1282" s="95" t="b">
        <v>1</v>
      </c>
      <c r="L1282" s="95">
        <v>3</v>
      </c>
      <c r="M1282" s="96">
        <v>2028</v>
      </c>
      <c r="N1282" s="97">
        <v>0</v>
      </c>
      <c r="O1282" s="98">
        <v>46020</v>
      </c>
      <c r="P1282" s="98">
        <v>46020</v>
      </c>
      <c r="Q1282" s="99">
        <v>0</v>
      </c>
    </row>
    <row r="1283" spans="1:17">
      <c r="A1283" s="7">
        <v>2025</v>
      </c>
      <c r="B1283" s="8" t="s">
        <v>434</v>
      </c>
      <c r="C1283" s="94" t="s">
        <v>435</v>
      </c>
      <c r="D1283" s="95">
        <v>3215062</v>
      </c>
      <c r="E1283" s="95">
        <v>2</v>
      </c>
      <c r="F1283" s="95"/>
      <c r="G1283" s="95">
        <v>111000</v>
      </c>
      <c r="H1283" s="95">
        <v>11.1</v>
      </c>
      <c r="I1283" s="95"/>
      <c r="J1283" s="95" t="s">
        <v>467</v>
      </c>
      <c r="K1283" s="95" t="b">
        <v>1</v>
      </c>
      <c r="L1283" s="95">
        <v>13</v>
      </c>
      <c r="M1283" s="96">
        <v>2038</v>
      </c>
      <c r="N1283" s="97">
        <v>0</v>
      </c>
      <c r="O1283" s="98">
        <v>46020</v>
      </c>
      <c r="P1283" s="98">
        <v>46020</v>
      </c>
      <c r="Q1283" s="99">
        <v>0</v>
      </c>
    </row>
    <row r="1284" spans="1:17">
      <c r="A1284" s="7">
        <v>2025</v>
      </c>
      <c r="B1284" s="8" t="s">
        <v>434</v>
      </c>
      <c r="C1284" s="94" t="s">
        <v>435</v>
      </c>
      <c r="D1284" s="95">
        <v>3215062</v>
      </c>
      <c r="E1284" s="95">
        <v>2</v>
      </c>
      <c r="F1284" s="95"/>
      <c r="G1284" s="95">
        <v>111000</v>
      </c>
      <c r="H1284" s="95">
        <v>11.1</v>
      </c>
      <c r="I1284" s="95"/>
      <c r="J1284" s="95" t="s">
        <v>467</v>
      </c>
      <c r="K1284" s="95" t="b">
        <v>1</v>
      </c>
      <c r="L1284" s="95">
        <v>1</v>
      </c>
      <c r="M1284" s="96">
        <v>2026</v>
      </c>
      <c r="N1284" s="97">
        <v>0</v>
      </c>
      <c r="O1284" s="98">
        <v>46020</v>
      </c>
      <c r="P1284" s="98">
        <v>46020</v>
      </c>
      <c r="Q1284" s="99">
        <v>0</v>
      </c>
    </row>
    <row r="1285" spans="1:17">
      <c r="A1285" s="7">
        <v>2025</v>
      </c>
      <c r="B1285" s="8" t="s">
        <v>434</v>
      </c>
      <c r="C1285" s="94" t="s">
        <v>435</v>
      </c>
      <c r="D1285" s="95">
        <v>3215062</v>
      </c>
      <c r="E1285" s="95">
        <v>2</v>
      </c>
      <c r="F1285" s="95"/>
      <c r="G1285" s="95">
        <v>111000</v>
      </c>
      <c r="H1285" s="95">
        <v>11.1</v>
      </c>
      <c r="I1285" s="95"/>
      <c r="J1285" s="95" t="s">
        <v>467</v>
      </c>
      <c r="K1285" s="95" t="b">
        <v>1</v>
      </c>
      <c r="L1285" s="95">
        <v>0</v>
      </c>
      <c r="M1285" s="96">
        <v>2025</v>
      </c>
      <c r="N1285" s="97">
        <v>0</v>
      </c>
      <c r="O1285" s="98">
        <v>46020</v>
      </c>
      <c r="P1285" s="98">
        <v>46020</v>
      </c>
      <c r="Q1285" s="99">
        <v>0</v>
      </c>
    </row>
    <row r="1286" spans="1:17">
      <c r="A1286" s="7">
        <v>2025</v>
      </c>
      <c r="B1286" s="8" t="s">
        <v>434</v>
      </c>
      <c r="C1286" s="94" t="s">
        <v>435</v>
      </c>
      <c r="D1286" s="95">
        <v>3215062</v>
      </c>
      <c r="E1286" s="95">
        <v>2</v>
      </c>
      <c r="F1286" s="95"/>
      <c r="G1286" s="95">
        <v>111000</v>
      </c>
      <c r="H1286" s="95">
        <v>11.1</v>
      </c>
      <c r="I1286" s="95"/>
      <c r="J1286" s="95" t="s">
        <v>467</v>
      </c>
      <c r="K1286" s="95" t="b">
        <v>1</v>
      </c>
      <c r="L1286" s="95">
        <v>9</v>
      </c>
      <c r="M1286" s="96">
        <v>2034</v>
      </c>
      <c r="N1286" s="97">
        <v>0</v>
      </c>
      <c r="O1286" s="98">
        <v>46020</v>
      </c>
      <c r="P1286" s="98">
        <v>46020</v>
      </c>
      <c r="Q1286" s="99">
        <v>0</v>
      </c>
    </row>
    <row r="1287" spans="1:17">
      <c r="A1287" s="7">
        <v>2025</v>
      </c>
      <c r="B1287" s="8" t="s">
        <v>434</v>
      </c>
      <c r="C1287" s="94" t="s">
        <v>435</v>
      </c>
      <c r="D1287" s="95">
        <v>3215062</v>
      </c>
      <c r="E1287" s="95">
        <v>2</v>
      </c>
      <c r="F1287" s="95"/>
      <c r="G1287" s="95">
        <v>111000</v>
      </c>
      <c r="H1287" s="95">
        <v>11.1</v>
      </c>
      <c r="I1287" s="95"/>
      <c r="J1287" s="95" t="s">
        <v>467</v>
      </c>
      <c r="K1287" s="95" t="b">
        <v>1</v>
      </c>
      <c r="L1287" s="95">
        <v>10</v>
      </c>
      <c r="M1287" s="96">
        <v>2035</v>
      </c>
      <c r="N1287" s="97">
        <v>0</v>
      </c>
      <c r="O1287" s="98">
        <v>46020</v>
      </c>
      <c r="P1287" s="98">
        <v>46020</v>
      </c>
      <c r="Q1287" s="99">
        <v>0</v>
      </c>
    </row>
    <row r="1288" spans="1:17">
      <c r="A1288" s="7">
        <v>2025</v>
      </c>
      <c r="B1288" s="8" t="s">
        <v>434</v>
      </c>
      <c r="C1288" s="94" t="s">
        <v>435</v>
      </c>
      <c r="D1288" s="95">
        <v>3215062</v>
      </c>
      <c r="E1288" s="95">
        <v>2</v>
      </c>
      <c r="F1288" s="95"/>
      <c r="G1288" s="95">
        <v>111000</v>
      </c>
      <c r="H1288" s="95">
        <v>11.1</v>
      </c>
      <c r="I1288" s="95"/>
      <c r="J1288" s="95" t="s">
        <v>467</v>
      </c>
      <c r="K1288" s="95" t="b">
        <v>1</v>
      </c>
      <c r="L1288" s="95">
        <v>2</v>
      </c>
      <c r="M1288" s="96">
        <v>2027</v>
      </c>
      <c r="N1288" s="97">
        <v>0</v>
      </c>
      <c r="O1288" s="98">
        <v>46020</v>
      </c>
      <c r="P1288" s="98">
        <v>46020</v>
      </c>
      <c r="Q1288" s="99">
        <v>0</v>
      </c>
    </row>
    <row r="1289" spans="1:17">
      <c r="A1289" s="7">
        <v>2025</v>
      </c>
      <c r="B1289" s="8" t="s">
        <v>434</v>
      </c>
      <c r="C1289" s="94" t="s">
        <v>435</v>
      </c>
      <c r="D1289" s="95">
        <v>3215062</v>
      </c>
      <c r="E1289" s="95">
        <v>2</v>
      </c>
      <c r="F1289" s="95"/>
      <c r="G1289" s="95">
        <v>111000</v>
      </c>
      <c r="H1289" s="95">
        <v>11.1</v>
      </c>
      <c r="I1289" s="95"/>
      <c r="J1289" s="95" t="s">
        <v>467</v>
      </c>
      <c r="K1289" s="95" t="b">
        <v>1</v>
      </c>
      <c r="L1289" s="95">
        <v>4</v>
      </c>
      <c r="M1289" s="96">
        <v>2029</v>
      </c>
      <c r="N1289" s="97">
        <v>0</v>
      </c>
      <c r="O1289" s="98">
        <v>46020</v>
      </c>
      <c r="P1289" s="98">
        <v>46020</v>
      </c>
      <c r="Q1289" s="99">
        <v>0</v>
      </c>
    </row>
    <row r="1290" spans="1:17">
      <c r="A1290" s="7">
        <v>2025</v>
      </c>
      <c r="B1290" s="8" t="s">
        <v>434</v>
      </c>
      <c r="C1290" s="94" t="s">
        <v>435</v>
      </c>
      <c r="D1290" s="95">
        <v>3215062</v>
      </c>
      <c r="E1290" s="95">
        <v>2</v>
      </c>
      <c r="F1290" s="95"/>
      <c r="G1290" s="95">
        <v>111000</v>
      </c>
      <c r="H1290" s="95">
        <v>11.1</v>
      </c>
      <c r="I1290" s="95"/>
      <c r="J1290" s="95" t="s">
        <v>467</v>
      </c>
      <c r="K1290" s="95" t="b">
        <v>1</v>
      </c>
      <c r="L1290" s="95">
        <v>8</v>
      </c>
      <c r="M1290" s="96">
        <v>2033</v>
      </c>
      <c r="N1290" s="97">
        <v>0</v>
      </c>
      <c r="O1290" s="98">
        <v>46020</v>
      </c>
      <c r="P1290" s="98">
        <v>46020</v>
      </c>
      <c r="Q1290" s="99">
        <v>0</v>
      </c>
    </row>
    <row r="1291" spans="1:17">
      <c r="A1291" s="7">
        <v>2025</v>
      </c>
      <c r="B1291" s="8" t="s">
        <v>434</v>
      </c>
      <c r="C1291" s="94" t="s">
        <v>435</v>
      </c>
      <c r="D1291" s="95">
        <v>3215062</v>
      </c>
      <c r="E1291" s="95">
        <v>2</v>
      </c>
      <c r="F1291" s="95"/>
      <c r="G1291" s="95">
        <v>111000</v>
      </c>
      <c r="H1291" s="95">
        <v>11.1</v>
      </c>
      <c r="I1291" s="95"/>
      <c r="J1291" s="95" t="s">
        <v>467</v>
      </c>
      <c r="K1291" s="95" t="b">
        <v>1</v>
      </c>
      <c r="L1291" s="95">
        <v>7</v>
      </c>
      <c r="M1291" s="96">
        <v>2032</v>
      </c>
      <c r="N1291" s="97">
        <v>0</v>
      </c>
      <c r="O1291" s="98">
        <v>46020</v>
      </c>
      <c r="P1291" s="98">
        <v>46020</v>
      </c>
      <c r="Q1291" s="99">
        <v>0</v>
      </c>
    </row>
    <row r="1292" spans="1:17">
      <c r="A1292" s="7">
        <v>2025</v>
      </c>
      <c r="B1292" s="8" t="s">
        <v>434</v>
      </c>
      <c r="C1292" s="94" t="s">
        <v>435</v>
      </c>
      <c r="D1292" s="95">
        <v>3215062</v>
      </c>
      <c r="E1292" s="95">
        <v>2</v>
      </c>
      <c r="F1292" s="95"/>
      <c r="G1292" s="95">
        <v>111000</v>
      </c>
      <c r="H1292" s="95">
        <v>11.1</v>
      </c>
      <c r="I1292" s="95"/>
      <c r="J1292" s="95" t="s">
        <v>467</v>
      </c>
      <c r="K1292" s="95" t="b">
        <v>1</v>
      </c>
      <c r="L1292" s="95">
        <v>12</v>
      </c>
      <c r="M1292" s="96">
        <v>2037</v>
      </c>
      <c r="N1292" s="97">
        <v>0</v>
      </c>
      <c r="O1292" s="98">
        <v>46020</v>
      </c>
      <c r="P1292" s="98">
        <v>46020</v>
      </c>
      <c r="Q1292" s="99">
        <v>0</v>
      </c>
    </row>
    <row r="1293" spans="1:17">
      <c r="A1293" s="7">
        <v>2025</v>
      </c>
      <c r="B1293" s="8" t="s">
        <v>434</v>
      </c>
      <c r="C1293" s="94" t="s">
        <v>435</v>
      </c>
      <c r="D1293" s="95">
        <v>3215062</v>
      </c>
      <c r="E1293" s="95">
        <v>2</v>
      </c>
      <c r="F1293" s="95"/>
      <c r="G1293" s="95">
        <v>111000</v>
      </c>
      <c r="H1293" s="95">
        <v>11.1</v>
      </c>
      <c r="I1293" s="95"/>
      <c r="J1293" s="95" t="s">
        <v>467</v>
      </c>
      <c r="K1293" s="95" t="b">
        <v>1</v>
      </c>
      <c r="L1293" s="95">
        <v>5</v>
      </c>
      <c r="M1293" s="96">
        <v>2030</v>
      </c>
      <c r="N1293" s="97">
        <v>0</v>
      </c>
      <c r="O1293" s="98">
        <v>46020</v>
      </c>
      <c r="P1293" s="98">
        <v>46020</v>
      </c>
      <c r="Q1293" s="99">
        <v>0</v>
      </c>
    </row>
    <row r="1294" spans="1:17">
      <c r="A1294" s="7">
        <v>2025</v>
      </c>
      <c r="B1294" s="8" t="s">
        <v>434</v>
      </c>
      <c r="C1294" s="94" t="s">
        <v>435</v>
      </c>
      <c r="D1294" s="95">
        <v>3215062</v>
      </c>
      <c r="E1294" s="95">
        <v>2</v>
      </c>
      <c r="F1294" s="95"/>
      <c r="G1294" s="95">
        <v>111000</v>
      </c>
      <c r="H1294" s="95">
        <v>11.1</v>
      </c>
      <c r="I1294" s="95"/>
      <c r="J1294" s="95" t="s">
        <v>467</v>
      </c>
      <c r="K1294" s="95" t="b">
        <v>1</v>
      </c>
      <c r="L1294" s="95">
        <v>11</v>
      </c>
      <c r="M1294" s="96">
        <v>2036</v>
      </c>
      <c r="N1294" s="97">
        <v>0</v>
      </c>
      <c r="O1294" s="98">
        <v>46020</v>
      </c>
      <c r="P1294" s="98">
        <v>46020</v>
      </c>
      <c r="Q1294" s="99">
        <v>0</v>
      </c>
    </row>
    <row r="1295" spans="1:17">
      <c r="A1295" s="7">
        <v>2025</v>
      </c>
      <c r="B1295" s="8" t="s">
        <v>434</v>
      </c>
      <c r="C1295" s="94" t="s">
        <v>435</v>
      </c>
      <c r="D1295" s="95">
        <v>3215062</v>
      </c>
      <c r="E1295" s="95">
        <v>2</v>
      </c>
      <c r="F1295" s="95"/>
      <c r="G1295" s="95">
        <v>103000</v>
      </c>
      <c r="H1295" s="95">
        <v>10.3</v>
      </c>
      <c r="I1295" s="95"/>
      <c r="J1295" s="95" t="s">
        <v>177</v>
      </c>
      <c r="K1295" s="95" t="b">
        <v>1</v>
      </c>
      <c r="L1295" s="95">
        <v>5</v>
      </c>
      <c r="M1295" s="96">
        <v>2030</v>
      </c>
      <c r="N1295" s="97">
        <v>0</v>
      </c>
      <c r="O1295" s="98">
        <v>46020</v>
      </c>
      <c r="P1295" s="98">
        <v>46020</v>
      </c>
      <c r="Q1295" s="99">
        <v>0</v>
      </c>
    </row>
    <row r="1296" spans="1:17">
      <c r="A1296" s="7">
        <v>2025</v>
      </c>
      <c r="B1296" s="8" t="s">
        <v>434</v>
      </c>
      <c r="C1296" s="94" t="s">
        <v>435</v>
      </c>
      <c r="D1296" s="95">
        <v>3215062</v>
      </c>
      <c r="E1296" s="95">
        <v>2</v>
      </c>
      <c r="F1296" s="95"/>
      <c r="G1296" s="95">
        <v>103000</v>
      </c>
      <c r="H1296" s="95">
        <v>10.3</v>
      </c>
      <c r="I1296" s="95"/>
      <c r="J1296" s="95" t="s">
        <v>177</v>
      </c>
      <c r="K1296" s="95" t="b">
        <v>1</v>
      </c>
      <c r="L1296" s="95">
        <v>7</v>
      </c>
      <c r="M1296" s="96">
        <v>2032</v>
      </c>
      <c r="N1296" s="97">
        <v>0</v>
      </c>
      <c r="O1296" s="98">
        <v>46020</v>
      </c>
      <c r="P1296" s="98">
        <v>46020</v>
      </c>
      <c r="Q1296" s="99">
        <v>0</v>
      </c>
    </row>
    <row r="1297" spans="1:17">
      <c r="A1297" s="7">
        <v>2025</v>
      </c>
      <c r="B1297" s="8" t="s">
        <v>434</v>
      </c>
      <c r="C1297" s="94" t="s">
        <v>435</v>
      </c>
      <c r="D1297" s="95">
        <v>3215062</v>
      </c>
      <c r="E1297" s="95">
        <v>2</v>
      </c>
      <c r="F1297" s="95"/>
      <c r="G1297" s="95">
        <v>103000</v>
      </c>
      <c r="H1297" s="95">
        <v>10.3</v>
      </c>
      <c r="I1297" s="95"/>
      <c r="J1297" s="95" t="s">
        <v>177</v>
      </c>
      <c r="K1297" s="95" t="b">
        <v>1</v>
      </c>
      <c r="L1297" s="95">
        <v>9</v>
      </c>
      <c r="M1297" s="96">
        <v>2034</v>
      </c>
      <c r="N1297" s="97">
        <v>0</v>
      </c>
      <c r="O1297" s="98">
        <v>46020</v>
      </c>
      <c r="P1297" s="98">
        <v>46020</v>
      </c>
      <c r="Q1297" s="99">
        <v>0</v>
      </c>
    </row>
    <row r="1298" spans="1:17">
      <c r="A1298" s="7">
        <v>2025</v>
      </c>
      <c r="B1298" s="8" t="s">
        <v>434</v>
      </c>
      <c r="C1298" s="94" t="s">
        <v>435</v>
      </c>
      <c r="D1298" s="95">
        <v>3215062</v>
      </c>
      <c r="E1298" s="95">
        <v>2</v>
      </c>
      <c r="F1298" s="95"/>
      <c r="G1298" s="95">
        <v>103000</v>
      </c>
      <c r="H1298" s="95">
        <v>10.3</v>
      </c>
      <c r="I1298" s="95"/>
      <c r="J1298" s="95" t="s">
        <v>177</v>
      </c>
      <c r="K1298" s="95" t="b">
        <v>1</v>
      </c>
      <c r="L1298" s="95">
        <v>8</v>
      </c>
      <c r="M1298" s="96">
        <v>2033</v>
      </c>
      <c r="N1298" s="97">
        <v>0</v>
      </c>
      <c r="O1298" s="98">
        <v>46020</v>
      </c>
      <c r="P1298" s="98">
        <v>46020</v>
      </c>
      <c r="Q1298" s="99">
        <v>0</v>
      </c>
    </row>
    <row r="1299" spans="1:17">
      <c r="A1299" s="7">
        <v>2025</v>
      </c>
      <c r="B1299" s="8" t="s">
        <v>434</v>
      </c>
      <c r="C1299" s="94" t="s">
        <v>435</v>
      </c>
      <c r="D1299" s="95">
        <v>3215062</v>
      </c>
      <c r="E1299" s="95">
        <v>2</v>
      </c>
      <c r="F1299" s="95"/>
      <c r="G1299" s="95">
        <v>103000</v>
      </c>
      <c r="H1299" s="95">
        <v>10.3</v>
      </c>
      <c r="I1299" s="95"/>
      <c r="J1299" s="95" t="s">
        <v>177</v>
      </c>
      <c r="K1299" s="95" t="b">
        <v>1</v>
      </c>
      <c r="L1299" s="95">
        <v>1</v>
      </c>
      <c r="M1299" s="96">
        <v>2026</v>
      </c>
      <c r="N1299" s="97">
        <v>0</v>
      </c>
      <c r="O1299" s="98">
        <v>46020</v>
      </c>
      <c r="P1299" s="98">
        <v>46020</v>
      </c>
      <c r="Q1299" s="99">
        <v>0</v>
      </c>
    </row>
    <row r="1300" spans="1:17">
      <c r="A1300" s="7">
        <v>2025</v>
      </c>
      <c r="B1300" s="8" t="s">
        <v>434</v>
      </c>
      <c r="C1300" s="94" t="s">
        <v>435</v>
      </c>
      <c r="D1300" s="95">
        <v>3215062</v>
      </c>
      <c r="E1300" s="95">
        <v>2</v>
      </c>
      <c r="F1300" s="95"/>
      <c r="G1300" s="95">
        <v>103000</v>
      </c>
      <c r="H1300" s="95">
        <v>10.3</v>
      </c>
      <c r="I1300" s="95"/>
      <c r="J1300" s="95" t="s">
        <v>177</v>
      </c>
      <c r="K1300" s="95" t="b">
        <v>1</v>
      </c>
      <c r="L1300" s="95">
        <v>0</v>
      </c>
      <c r="M1300" s="96">
        <v>2025</v>
      </c>
      <c r="N1300" s="97">
        <v>0</v>
      </c>
      <c r="O1300" s="98">
        <v>46020</v>
      </c>
      <c r="P1300" s="98">
        <v>46020</v>
      </c>
      <c r="Q1300" s="99">
        <v>0</v>
      </c>
    </row>
    <row r="1301" spans="1:17">
      <c r="A1301" s="7">
        <v>2025</v>
      </c>
      <c r="B1301" s="8" t="s">
        <v>434</v>
      </c>
      <c r="C1301" s="94" t="s">
        <v>435</v>
      </c>
      <c r="D1301" s="95">
        <v>3215062</v>
      </c>
      <c r="E1301" s="95">
        <v>2</v>
      </c>
      <c r="F1301" s="95"/>
      <c r="G1301" s="95">
        <v>103000</v>
      </c>
      <c r="H1301" s="95">
        <v>10.3</v>
      </c>
      <c r="I1301" s="95"/>
      <c r="J1301" s="95" t="s">
        <v>177</v>
      </c>
      <c r="K1301" s="95" t="b">
        <v>1</v>
      </c>
      <c r="L1301" s="95">
        <v>10</v>
      </c>
      <c r="M1301" s="96">
        <v>2035</v>
      </c>
      <c r="N1301" s="97">
        <v>0</v>
      </c>
      <c r="O1301" s="98">
        <v>46020</v>
      </c>
      <c r="P1301" s="98">
        <v>46020</v>
      </c>
      <c r="Q1301" s="99">
        <v>0</v>
      </c>
    </row>
    <row r="1302" spans="1:17">
      <c r="A1302" s="7">
        <v>2025</v>
      </c>
      <c r="B1302" s="8" t="s">
        <v>434</v>
      </c>
      <c r="C1302" s="94" t="s">
        <v>435</v>
      </c>
      <c r="D1302" s="95">
        <v>3215062</v>
      </c>
      <c r="E1302" s="95">
        <v>2</v>
      </c>
      <c r="F1302" s="95"/>
      <c r="G1302" s="95">
        <v>103000</v>
      </c>
      <c r="H1302" s="95">
        <v>10.3</v>
      </c>
      <c r="I1302" s="95"/>
      <c r="J1302" s="95" t="s">
        <v>177</v>
      </c>
      <c r="K1302" s="95" t="b">
        <v>1</v>
      </c>
      <c r="L1302" s="95">
        <v>6</v>
      </c>
      <c r="M1302" s="96">
        <v>2031</v>
      </c>
      <c r="N1302" s="97">
        <v>0</v>
      </c>
      <c r="O1302" s="98">
        <v>46020</v>
      </c>
      <c r="P1302" s="98">
        <v>46020</v>
      </c>
      <c r="Q1302" s="99">
        <v>0</v>
      </c>
    </row>
    <row r="1303" spans="1:17">
      <c r="A1303" s="7">
        <v>2025</v>
      </c>
      <c r="B1303" s="8" t="s">
        <v>434</v>
      </c>
      <c r="C1303" s="94" t="s">
        <v>435</v>
      </c>
      <c r="D1303" s="95">
        <v>3215062</v>
      </c>
      <c r="E1303" s="95">
        <v>2</v>
      </c>
      <c r="F1303" s="95"/>
      <c r="G1303" s="95">
        <v>103000</v>
      </c>
      <c r="H1303" s="95">
        <v>10.3</v>
      </c>
      <c r="I1303" s="95"/>
      <c r="J1303" s="95" t="s">
        <v>177</v>
      </c>
      <c r="K1303" s="95" t="b">
        <v>1</v>
      </c>
      <c r="L1303" s="95">
        <v>13</v>
      </c>
      <c r="M1303" s="96">
        <v>2038</v>
      </c>
      <c r="N1303" s="97">
        <v>0</v>
      </c>
      <c r="O1303" s="98">
        <v>46020</v>
      </c>
      <c r="P1303" s="98">
        <v>46020</v>
      </c>
      <c r="Q1303" s="99">
        <v>0</v>
      </c>
    </row>
    <row r="1304" spans="1:17">
      <c r="A1304" s="7">
        <v>2025</v>
      </c>
      <c r="B1304" s="8" t="s">
        <v>434</v>
      </c>
      <c r="C1304" s="94" t="s">
        <v>435</v>
      </c>
      <c r="D1304" s="95">
        <v>3215062</v>
      </c>
      <c r="E1304" s="95">
        <v>2</v>
      </c>
      <c r="F1304" s="95"/>
      <c r="G1304" s="95">
        <v>103000</v>
      </c>
      <c r="H1304" s="95">
        <v>10.3</v>
      </c>
      <c r="I1304" s="95"/>
      <c r="J1304" s="95" t="s">
        <v>177</v>
      </c>
      <c r="K1304" s="95" t="b">
        <v>1</v>
      </c>
      <c r="L1304" s="95">
        <v>11</v>
      </c>
      <c r="M1304" s="96">
        <v>2036</v>
      </c>
      <c r="N1304" s="97">
        <v>0</v>
      </c>
      <c r="O1304" s="98">
        <v>46020</v>
      </c>
      <c r="P1304" s="98">
        <v>46020</v>
      </c>
      <c r="Q1304" s="99">
        <v>0</v>
      </c>
    </row>
    <row r="1305" spans="1:17">
      <c r="A1305" s="7">
        <v>2025</v>
      </c>
      <c r="B1305" s="8" t="s">
        <v>434</v>
      </c>
      <c r="C1305" s="94" t="s">
        <v>435</v>
      </c>
      <c r="D1305" s="95">
        <v>3215062</v>
      </c>
      <c r="E1305" s="95">
        <v>2</v>
      </c>
      <c r="F1305" s="95"/>
      <c r="G1305" s="95">
        <v>103000</v>
      </c>
      <c r="H1305" s="95">
        <v>10.3</v>
      </c>
      <c r="I1305" s="95"/>
      <c r="J1305" s="95" t="s">
        <v>177</v>
      </c>
      <c r="K1305" s="95" t="b">
        <v>1</v>
      </c>
      <c r="L1305" s="95">
        <v>3</v>
      </c>
      <c r="M1305" s="96">
        <v>2028</v>
      </c>
      <c r="N1305" s="97">
        <v>0</v>
      </c>
      <c r="O1305" s="98">
        <v>46020</v>
      </c>
      <c r="P1305" s="98">
        <v>46020</v>
      </c>
      <c r="Q1305" s="99">
        <v>0</v>
      </c>
    </row>
    <row r="1306" spans="1:17">
      <c r="A1306" s="7">
        <v>2025</v>
      </c>
      <c r="B1306" s="8" t="s">
        <v>434</v>
      </c>
      <c r="C1306" s="94" t="s">
        <v>435</v>
      </c>
      <c r="D1306" s="95">
        <v>3215062</v>
      </c>
      <c r="E1306" s="95">
        <v>2</v>
      </c>
      <c r="F1306" s="95"/>
      <c r="G1306" s="95">
        <v>103000</v>
      </c>
      <c r="H1306" s="95">
        <v>10.3</v>
      </c>
      <c r="I1306" s="95"/>
      <c r="J1306" s="95" t="s">
        <v>177</v>
      </c>
      <c r="K1306" s="95" t="b">
        <v>1</v>
      </c>
      <c r="L1306" s="95">
        <v>4</v>
      </c>
      <c r="M1306" s="96">
        <v>2029</v>
      </c>
      <c r="N1306" s="97">
        <v>0</v>
      </c>
      <c r="O1306" s="98">
        <v>46020</v>
      </c>
      <c r="P1306" s="98">
        <v>46020</v>
      </c>
      <c r="Q1306" s="99">
        <v>0</v>
      </c>
    </row>
    <row r="1307" spans="1:17">
      <c r="A1307" s="7">
        <v>2025</v>
      </c>
      <c r="B1307" s="8" t="s">
        <v>434</v>
      </c>
      <c r="C1307" s="94" t="s">
        <v>435</v>
      </c>
      <c r="D1307" s="95">
        <v>3215062</v>
      </c>
      <c r="E1307" s="95">
        <v>2</v>
      </c>
      <c r="F1307" s="95"/>
      <c r="G1307" s="95">
        <v>103000</v>
      </c>
      <c r="H1307" s="95">
        <v>10.3</v>
      </c>
      <c r="I1307" s="95"/>
      <c r="J1307" s="95" t="s">
        <v>177</v>
      </c>
      <c r="K1307" s="95" t="b">
        <v>1</v>
      </c>
      <c r="L1307" s="95">
        <v>12</v>
      </c>
      <c r="M1307" s="96">
        <v>2037</v>
      </c>
      <c r="N1307" s="97">
        <v>0</v>
      </c>
      <c r="O1307" s="98">
        <v>46020</v>
      </c>
      <c r="P1307" s="98">
        <v>46020</v>
      </c>
      <c r="Q1307" s="99">
        <v>0</v>
      </c>
    </row>
    <row r="1308" spans="1:17">
      <c r="A1308" s="7">
        <v>2025</v>
      </c>
      <c r="B1308" s="8" t="s">
        <v>434</v>
      </c>
      <c r="C1308" s="94" t="s">
        <v>435</v>
      </c>
      <c r="D1308" s="95">
        <v>3215062</v>
      </c>
      <c r="E1308" s="95">
        <v>2</v>
      </c>
      <c r="F1308" s="95"/>
      <c r="G1308" s="95">
        <v>103000</v>
      </c>
      <c r="H1308" s="95">
        <v>10.3</v>
      </c>
      <c r="I1308" s="95"/>
      <c r="J1308" s="95" t="s">
        <v>177</v>
      </c>
      <c r="K1308" s="95" t="b">
        <v>1</v>
      </c>
      <c r="L1308" s="95">
        <v>2</v>
      </c>
      <c r="M1308" s="96">
        <v>2027</v>
      </c>
      <c r="N1308" s="97">
        <v>0</v>
      </c>
      <c r="O1308" s="98">
        <v>46020</v>
      </c>
      <c r="P1308" s="98">
        <v>46020</v>
      </c>
      <c r="Q1308" s="99">
        <v>0</v>
      </c>
    </row>
    <row r="1309" spans="1:17">
      <c r="A1309" s="7">
        <v>2025</v>
      </c>
      <c r="B1309" s="8" t="s">
        <v>434</v>
      </c>
      <c r="C1309" s="94" t="s">
        <v>435</v>
      </c>
      <c r="D1309" s="95">
        <v>3215062</v>
      </c>
      <c r="E1309" s="95">
        <v>2</v>
      </c>
      <c r="F1309" s="95"/>
      <c r="G1309" s="95">
        <v>82000</v>
      </c>
      <c r="H1309" s="95">
        <v>8.1999999999999993</v>
      </c>
      <c r="I1309" s="95"/>
      <c r="J1309" s="95" t="s">
        <v>468</v>
      </c>
      <c r="K1309" s="95" t="b">
        <v>0</v>
      </c>
      <c r="L1309" s="95">
        <v>13</v>
      </c>
      <c r="M1309" s="96">
        <v>2038</v>
      </c>
      <c r="N1309" s="97">
        <v>3.0700000000000002E-2</v>
      </c>
      <c r="O1309" s="98">
        <v>46020</v>
      </c>
      <c r="P1309" s="98">
        <v>46020</v>
      </c>
      <c r="Q1309" s="99">
        <v>0</v>
      </c>
    </row>
    <row r="1310" spans="1:17">
      <c r="A1310" s="7">
        <v>2025</v>
      </c>
      <c r="B1310" s="8" t="s">
        <v>434</v>
      </c>
      <c r="C1310" s="94" t="s">
        <v>435</v>
      </c>
      <c r="D1310" s="95">
        <v>3215062</v>
      </c>
      <c r="E1310" s="95">
        <v>2</v>
      </c>
      <c r="F1310" s="95"/>
      <c r="G1310" s="95">
        <v>82000</v>
      </c>
      <c r="H1310" s="95">
        <v>8.1999999999999993</v>
      </c>
      <c r="I1310" s="95"/>
      <c r="J1310" s="95" t="s">
        <v>468</v>
      </c>
      <c r="K1310" s="95" t="b">
        <v>0</v>
      </c>
      <c r="L1310" s="95">
        <v>3</v>
      </c>
      <c r="M1310" s="96">
        <v>2028</v>
      </c>
      <c r="N1310" s="97">
        <v>2.41E-2</v>
      </c>
      <c r="O1310" s="98">
        <v>46020</v>
      </c>
      <c r="P1310" s="98">
        <v>46020</v>
      </c>
      <c r="Q1310" s="99">
        <v>0</v>
      </c>
    </row>
    <row r="1311" spans="1:17">
      <c r="A1311" s="7">
        <v>2025</v>
      </c>
      <c r="B1311" s="8" t="s">
        <v>434</v>
      </c>
      <c r="C1311" s="94" t="s">
        <v>435</v>
      </c>
      <c r="D1311" s="95">
        <v>3215062</v>
      </c>
      <c r="E1311" s="95">
        <v>2</v>
      </c>
      <c r="F1311" s="95"/>
      <c r="G1311" s="95">
        <v>82000</v>
      </c>
      <c r="H1311" s="95">
        <v>8.1999999999999993</v>
      </c>
      <c r="I1311" s="95"/>
      <c r="J1311" s="95" t="s">
        <v>468</v>
      </c>
      <c r="K1311" s="95" t="b">
        <v>0</v>
      </c>
      <c r="L1311" s="95">
        <v>5</v>
      </c>
      <c r="M1311" s="96">
        <v>2030</v>
      </c>
      <c r="N1311" s="97">
        <v>2.5700000000000001E-2</v>
      </c>
      <c r="O1311" s="98">
        <v>46020</v>
      </c>
      <c r="P1311" s="98">
        <v>46020</v>
      </c>
      <c r="Q1311" s="99">
        <v>0</v>
      </c>
    </row>
    <row r="1312" spans="1:17">
      <c r="A1312" s="7">
        <v>2025</v>
      </c>
      <c r="B1312" s="8" t="s">
        <v>434</v>
      </c>
      <c r="C1312" s="94" t="s">
        <v>435</v>
      </c>
      <c r="D1312" s="95">
        <v>3215062</v>
      </c>
      <c r="E1312" s="95">
        <v>2</v>
      </c>
      <c r="F1312" s="95"/>
      <c r="G1312" s="95">
        <v>82000</v>
      </c>
      <c r="H1312" s="95">
        <v>8.1999999999999993</v>
      </c>
      <c r="I1312" s="95"/>
      <c r="J1312" s="95" t="s">
        <v>468</v>
      </c>
      <c r="K1312" s="95" t="b">
        <v>0</v>
      </c>
      <c r="L1312" s="95">
        <v>7</v>
      </c>
      <c r="M1312" s="96">
        <v>2032</v>
      </c>
      <c r="N1312" s="97">
        <v>2.53E-2</v>
      </c>
      <c r="O1312" s="98">
        <v>46020</v>
      </c>
      <c r="P1312" s="98">
        <v>46020</v>
      </c>
      <c r="Q1312" s="99">
        <v>0</v>
      </c>
    </row>
    <row r="1313" spans="1:17">
      <c r="A1313" s="7">
        <v>2025</v>
      </c>
      <c r="B1313" s="8" t="s">
        <v>434</v>
      </c>
      <c r="C1313" s="94" t="s">
        <v>435</v>
      </c>
      <c r="D1313" s="95">
        <v>3215062</v>
      </c>
      <c r="E1313" s="95">
        <v>2</v>
      </c>
      <c r="F1313" s="95"/>
      <c r="G1313" s="95">
        <v>82000</v>
      </c>
      <c r="H1313" s="95">
        <v>8.1999999999999993</v>
      </c>
      <c r="I1313" s="95"/>
      <c r="J1313" s="95" t="s">
        <v>468</v>
      </c>
      <c r="K1313" s="95" t="b">
        <v>0</v>
      </c>
      <c r="L1313" s="95">
        <v>8</v>
      </c>
      <c r="M1313" s="96">
        <v>2033</v>
      </c>
      <c r="N1313" s="97">
        <v>2.2700000000000001E-2</v>
      </c>
      <c r="O1313" s="98">
        <v>46020</v>
      </c>
      <c r="P1313" s="98">
        <v>46020</v>
      </c>
      <c r="Q1313" s="99">
        <v>0</v>
      </c>
    </row>
    <row r="1314" spans="1:17">
      <c r="A1314" s="7">
        <v>2025</v>
      </c>
      <c r="B1314" s="8" t="s">
        <v>434</v>
      </c>
      <c r="C1314" s="94" t="s">
        <v>435</v>
      </c>
      <c r="D1314" s="95">
        <v>3215062</v>
      </c>
      <c r="E1314" s="95">
        <v>2</v>
      </c>
      <c r="F1314" s="95"/>
      <c r="G1314" s="95">
        <v>82000</v>
      </c>
      <c r="H1314" s="95">
        <v>8.1999999999999993</v>
      </c>
      <c r="I1314" s="95"/>
      <c r="J1314" s="95" t="s">
        <v>468</v>
      </c>
      <c r="K1314" s="95" t="b">
        <v>0</v>
      </c>
      <c r="L1314" s="95">
        <v>1</v>
      </c>
      <c r="M1314" s="96">
        <v>2026</v>
      </c>
      <c r="N1314" s="97">
        <v>0.18210000000000001</v>
      </c>
      <c r="O1314" s="98">
        <v>46020</v>
      </c>
      <c r="P1314" s="98">
        <v>46020</v>
      </c>
      <c r="Q1314" s="99">
        <v>0</v>
      </c>
    </row>
    <row r="1315" spans="1:17">
      <c r="A1315" s="7">
        <v>2025</v>
      </c>
      <c r="B1315" s="8" t="s">
        <v>434</v>
      </c>
      <c r="C1315" s="94" t="s">
        <v>435</v>
      </c>
      <c r="D1315" s="95">
        <v>3215062</v>
      </c>
      <c r="E1315" s="95">
        <v>2</v>
      </c>
      <c r="F1315" s="95"/>
      <c r="G1315" s="95">
        <v>82000</v>
      </c>
      <c r="H1315" s="95">
        <v>8.1999999999999993</v>
      </c>
      <c r="I1315" s="95"/>
      <c r="J1315" s="95" t="s">
        <v>468</v>
      </c>
      <c r="K1315" s="95" t="b">
        <v>0</v>
      </c>
      <c r="L1315" s="95">
        <v>2</v>
      </c>
      <c r="M1315" s="96">
        <v>2027</v>
      </c>
      <c r="N1315" s="97">
        <v>7.1099999999999997E-2</v>
      </c>
      <c r="O1315" s="98">
        <v>46020</v>
      </c>
      <c r="P1315" s="98">
        <v>46020</v>
      </c>
      <c r="Q1315" s="99">
        <v>0</v>
      </c>
    </row>
    <row r="1316" spans="1:17">
      <c r="A1316" s="7">
        <v>2025</v>
      </c>
      <c r="B1316" s="8" t="s">
        <v>434</v>
      </c>
      <c r="C1316" s="94" t="s">
        <v>435</v>
      </c>
      <c r="D1316" s="95">
        <v>3215062</v>
      </c>
      <c r="E1316" s="95">
        <v>2</v>
      </c>
      <c r="F1316" s="95"/>
      <c r="G1316" s="95">
        <v>82000</v>
      </c>
      <c r="H1316" s="95">
        <v>8.1999999999999993</v>
      </c>
      <c r="I1316" s="95"/>
      <c r="J1316" s="95" t="s">
        <v>468</v>
      </c>
      <c r="K1316" s="95" t="b">
        <v>0</v>
      </c>
      <c r="L1316" s="95">
        <v>0</v>
      </c>
      <c r="M1316" s="96">
        <v>2025</v>
      </c>
      <c r="N1316" s="97">
        <v>1.66E-2</v>
      </c>
      <c r="O1316" s="98">
        <v>46020</v>
      </c>
      <c r="P1316" s="98">
        <v>46020</v>
      </c>
      <c r="Q1316" s="99">
        <v>0</v>
      </c>
    </row>
    <row r="1317" spans="1:17">
      <c r="A1317" s="7">
        <v>2025</v>
      </c>
      <c r="B1317" s="8" t="s">
        <v>434</v>
      </c>
      <c r="C1317" s="94" t="s">
        <v>435</v>
      </c>
      <c r="D1317" s="95">
        <v>3215062</v>
      </c>
      <c r="E1317" s="95">
        <v>2</v>
      </c>
      <c r="F1317" s="95"/>
      <c r="G1317" s="95">
        <v>82000</v>
      </c>
      <c r="H1317" s="95">
        <v>8.1999999999999993</v>
      </c>
      <c r="I1317" s="95"/>
      <c r="J1317" s="95" t="s">
        <v>468</v>
      </c>
      <c r="K1317" s="95" t="b">
        <v>0</v>
      </c>
      <c r="L1317" s="95">
        <v>12</v>
      </c>
      <c r="M1317" s="96">
        <v>2037</v>
      </c>
      <c r="N1317" s="97">
        <v>2.86E-2</v>
      </c>
      <c r="O1317" s="98">
        <v>46020</v>
      </c>
      <c r="P1317" s="98">
        <v>46020</v>
      </c>
      <c r="Q1317" s="99">
        <v>0</v>
      </c>
    </row>
    <row r="1318" spans="1:17">
      <c r="A1318" s="7">
        <v>2025</v>
      </c>
      <c r="B1318" s="8" t="s">
        <v>434</v>
      </c>
      <c r="C1318" s="94" t="s">
        <v>435</v>
      </c>
      <c r="D1318" s="95">
        <v>3215062</v>
      </c>
      <c r="E1318" s="95">
        <v>2</v>
      </c>
      <c r="F1318" s="95"/>
      <c r="G1318" s="95">
        <v>82000</v>
      </c>
      <c r="H1318" s="95">
        <v>8.1999999999999993</v>
      </c>
      <c r="I1318" s="95"/>
      <c r="J1318" s="95" t="s">
        <v>468</v>
      </c>
      <c r="K1318" s="95" t="b">
        <v>0</v>
      </c>
      <c r="L1318" s="95">
        <v>4</v>
      </c>
      <c r="M1318" s="96">
        <v>2029</v>
      </c>
      <c r="N1318" s="97">
        <v>2.64E-2</v>
      </c>
      <c r="O1318" s="98">
        <v>46020</v>
      </c>
      <c r="P1318" s="98">
        <v>46020</v>
      </c>
      <c r="Q1318" s="99">
        <v>0</v>
      </c>
    </row>
    <row r="1319" spans="1:17">
      <c r="A1319" s="7">
        <v>2025</v>
      </c>
      <c r="B1319" s="8" t="s">
        <v>434</v>
      </c>
      <c r="C1319" s="94" t="s">
        <v>435</v>
      </c>
      <c r="D1319" s="95">
        <v>3215062</v>
      </c>
      <c r="E1319" s="95">
        <v>2</v>
      </c>
      <c r="F1319" s="95"/>
      <c r="G1319" s="95">
        <v>82000</v>
      </c>
      <c r="H1319" s="95">
        <v>8.1999999999999993</v>
      </c>
      <c r="I1319" s="95"/>
      <c r="J1319" s="95" t="s">
        <v>468</v>
      </c>
      <c r="K1319" s="95" t="b">
        <v>0</v>
      </c>
      <c r="L1319" s="95">
        <v>6</v>
      </c>
      <c r="M1319" s="96">
        <v>2031</v>
      </c>
      <c r="N1319" s="97">
        <v>2.52E-2</v>
      </c>
      <c r="O1319" s="98">
        <v>46020</v>
      </c>
      <c r="P1319" s="98">
        <v>46020</v>
      </c>
      <c r="Q1319" s="99">
        <v>0</v>
      </c>
    </row>
    <row r="1320" spans="1:17">
      <c r="A1320" s="7">
        <v>2025</v>
      </c>
      <c r="B1320" s="8" t="s">
        <v>434</v>
      </c>
      <c r="C1320" s="94" t="s">
        <v>435</v>
      </c>
      <c r="D1320" s="95">
        <v>3215062</v>
      </c>
      <c r="E1320" s="95">
        <v>2</v>
      </c>
      <c r="F1320" s="95"/>
      <c r="G1320" s="95">
        <v>82000</v>
      </c>
      <c r="H1320" s="95">
        <v>8.1999999999999993</v>
      </c>
      <c r="I1320" s="95"/>
      <c r="J1320" s="95" t="s">
        <v>468</v>
      </c>
      <c r="K1320" s="95" t="b">
        <v>0</v>
      </c>
      <c r="L1320" s="95">
        <v>11</v>
      </c>
      <c r="M1320" s="96">
        <v>2036</v>
      </c>
      <c r="N1320" s="97">
        <v>2.69E-2</v>
      </c>
      <c r="O1320" s="98">
        <v>46020</v>
      </c>
      <c r="P1320" s="98">
        <v>46020</v>
      </c>
      <c r="Q1320" s="99">
        <v>0</v>
      </c>
    </row>
    <row r="1321" spans="1:17">
      <c r="A1321" s="7">
        <v>2025</v>
      </c>
      <c r="B1321" s="8" t="s">
        <v>434</v>
      </c>
      <c r="C1321" s="94" t="s">
        <v>435</v>
      </c>
      <c r="D1321" s="95">
        <v>3215062</v>
      </c>
      <c r="E1321" s="95">
        <v>2</v>
      </c>
      <c r="F1321" s="95"/>
      <c r="G1321" s="95">
        <v>82000</v>
      </c>
      <c r="H1321" s="95">
        <v>8.1999999999999993</v>
      </c>
      <c r="I1321" s="95"/>
      <c r="J1321" s="95" t="s">
        <v>468</v>
      </c>
      <c r="K1321" s="95" t="b">
        <v>0</v>
      </c>
      <c r="L1321" s="95">
        <v>10</v>
      </c>
      <c r="M1321" s="96">
        <v>2035</v>
      </c>
      <c r="N1321" s="97">
        <v>2.7400000000000001E-2</v>
      </c>
      <c r="O1321" s="98">
        <v>46020</v>
      </c>
      <c r="P1321" s="98">
        <v>46020</v>
      </c>
      <c r="Q1321" s="99">
        <v>0</v>
      </c>
    </row>
    <row r="1322" spans="1:17">
      <c r="A1322" s="7">
        <v>2025</v>
      </c>
      <c r="B1322" s="8" t="s">
        <v>434</v>
      </c>
      <c r="C1322" s="94" t="s">
        <v>435</v>
      </c>
      <c r="D1322" s="95">
        <v>3215062</v>
      </c>
      <c r="E1322" s="95">
        <v>2</v>
      </c>
      <c r="F1322" s="95"/>
      <c r="G1322" s="95">
        <v>82000</v>
      </c>
      <c r="H1322" s="95">
        <v>8.1999999999999993</v>
      </c>
      <c r="I1322" s="95"/>
      <c r="J1322" s="95" t="s">
        <v>468</v>
      </c>
      <c r="K1322" s="95" t="b">
        <v>0</v>
      </c>
      <c r="L1322" s="95">
        <v>9</v>
      </c>
      <c r="M1322" s="96">
        <v>2034</v>
      </c>
      <c r="N1322" s="97">
        <v>2.2800000000000001E-2</v>
      </c>
      <c r="O1322" s="98">
        <v>46020</v>
      </c>
      <c r="P1322" s="98">
        <v>46020</v>
      </c>
      <c r="Q1322" s="99">
        <v>0</v>
      </c>
    </row>
    <row r="1323" spans="1:17">
      <c r="A1323" s="7">
        <v>2025</v>
      </c>
      <c r="B1323" s="8" t="s">
        <v>434</v>
      </c>
      <c r="C1323" s="94" t="s">
        <v>435</v>
      </c>
      <c r="D1323" s="95">
        <v>3215062</v>
      </c>
      <c r="E1323" s="95">
        <v>2</v>
      </c>
      <c r="F1323" s="95"/>
      <c r="G1323" s="95">
        <v>87100</v>
      </c>
      <c r="H1323" s="95" t="s">
        <v>324</v>
      </c>
      <c r="I1323" s="95"/>
      <c r="J1323" s="95" t="s">
        <v>324</v>
      </c>
      <c r="K1323" s="95" t="b">
        <v>1</v>
      </c>
      <c r="L1323" s="95">
        <v>8</v>
      </c>
      <c r="M1323" s="96">
        <v>2033</v>
      </c>
      <c r="N1323" s="97">
        <v>0</v>
      </c>
      <c r="O1323" s="98">
        <v>46020</v>
      </c>
      <c r="P1323" s="98">
        <v>46020</v>
      </c>
      <c r="Q1323" s="99">
        <v>0</v>
      </c>
    </row>
    <row r="1324" spans="1:17">
      <c r="A1324" s="7">
        <v>2025</v>
      </c>
      <c r="B1324" s="8" t="s">
        <v>434</v>
      </c>
      <c r="C1324" s="94" t="s">
        <v>435</v>
      </c>
      <c r="D1324" s="95">
        <v>3215062</v>
      </c>
      <c r="E1324" s="95">
        <v>2</v>
      </c>
      <c r="F1324" s="95"/>
      <c r="G1324" s="95">
        <v>87100</v>
      </c>
      <c r="H1324" s="95" t="s">
        <v>324</v>
      </c>
      <c r="I1324" s="95"/>
      <c r="J1324" s="95" t="s">
        <v>324</v>
      </c>
      <c r="K1324" s="95" t="b">
        <v>1</v>
      </c>
      <c r="L1324" s="95">
        <v>11</v>
      </c>
      <c r="M1324" s="96">
        <v>2036</v>
      </c>
      <c r="N1324" s="97">
        <v>0</v>
      </c>
      <c r="O1324" s="98">
        <v>46020</v>
      </c>
      <c r="P1324" s="98">
        <v>46020</v>
      </c>
      <c r="Q1324" s="99">
        <v>0</v>
      </c>
    </row>
    <row r="1325" spans="1:17">
      <c r="A1325" s="7">
        <v>2025</v>
      </c>
      <c r="B1325" s="8" t="s">
        <v>434</v>
      </c>
      <c r="C1325" s="94" t="s">
        <v>435</v>
      </c>
      <c r="D1325" s="95">
        <v>3215062</v>
      </c>
      <c r="E1325" s="95">
        <v>2</v>
      </c>
      <c r="F1325" s="95"/>
      <c r="G1325" s="95">
        <v>87100</v>
      </c>
      <c r="H1325" s="95" t="s">
        <v>324</v>
      </c>
      <c r="I1325" s="95"/>
      <c r="J1325" s="95" t="s">
        <v>324</v>
      </c>
      <c r="K1325" s="95" t="b">
        <v>1</v>
      </c>
      <c r="L1325" s="95">
        <v>13</v>
      </c>
      <c r="M1325" s="96">
        <v>2038</v>
      </c>
      <c r="N1325" s="97">
        <v>0</v>
      </c>
      <c r="O1325" s="98">
        <v>46020</v>
      </c>
      <c r="P1325" s="98">
        <v>46020</v>
      </c>
      <c r="Q1325" s="99">
        <v>0</v>
      </c>
    </row>
    <row r="1326" spans="1:17">
      <c r="A1326" s="7">
        <v>2025</v>
      </c>
      <c r="B1326" s="8" t="s">
        <v>434</v>
      </c>
      <c r="C1326" s="94" t="s">
        <v>435</v>
      </c>
      <c r="D1326" s="95">
        <v>3215062</v>
      </c>
      <c r="E1326" s="95">
        <v>2</v>
      </c>
      <c r="F1326" s="95"/>
      <c r="G1326" s="95">
        <v>87100</v>
      </c>
      <c r="H1326" s="95" t="s">
        <v>324</v>
      </c>
      <c r="I1326" s="95"/>
      <c r="J1326" s="95" t="s">
        <v>324</v>
      </c>
      <c r="K1326" s="95" t="b">
        <v>1</v>
      </c>
      <c r="L1326" s="95">
        <v>3</v>
      </c>
      <c r="M1326" s="96">
        <v>2028</v>
      </c>
      <c r="N1326" s="97">
        <v>0</v>
      </c>
      <c r="O1326" s="98">
        <v>46020</v>
      </c>
      <c r="P1326" s="98">
        <v>46020</v>
      </c>
      <c r="Q1326" s="99">
        <v>0</v>
      </c>
    </row>
    <row r="1327" spans="1:17">
      <c r="A1327" s="7">
        <v>2025</v>
      </c>
      <c r="B1327" s="8" t="s">
        <v>434</v>
      </c>
      <c r="C1327" s="94" t="s">
        <v>435</v>
      </c>
      <c r="D1327" s="95">
        <v>3215062</v>
      </c>
      <c r="E1327" s="95">
        <v>2</v>
      </c>
      <c r="F1327" s="95"/>
      <c r="G1327" s="95">
        <v>87100</v>
      </c>
      <c r="H1327" s="95" t="s">
        <v>324</v>
      </c>
      <c r="I1327" s="95"/>
      <c r="J1327" s="95" t="s">
        <v>324</v>
      </c>
      <c r="K1327" s="95" t="b">
        <v>1</v>
      </c>
      <c r="L1327" s="95">
        <v>4</v>
      </c>
      <c r="M1327" s="96">
        <v>2029</v>
      </c>
      <c r="N1327" s="97">
        <v>0</v>
      </c>
      <c r="O1327" s="98">
        <v>46020</v>
      </c>
      <c r="P1327" s="98">
        <v>46020</v>
      </c>
      <c r="Q1327" s="99">
        <v>0</v>
      </c>
    </row>
    <row r="1328" spans="1:17">
      <c r="A1328" s="7">
        <v>2025</v>
      </c>
      <c r="B1328" s="8" t="s">
        <v>434</v>
      </c>
      <c r="C1328" s="94" t="s">
        <v>435</v>
      </c>
      <c r="D1328" s="95">
        <v>3215062</v>
      </c>
      <c r="E1328" s="95">
        <v>2</v>
      </c>
      <c r="F1328" s="95"/>
      <c r="G1328" s="95">
        <v>87100</v>
      </c>
      <c r="H1328" s="95" t="s">
        <v>324</v>
      </c>
      <c r="I1328" s="95"/>
      <c r="J1328" s="95" t="s">
        <v>324</v>
      </c>
      <c r="K1328" s="95" t="b">
        <v>1</v>
      </c>
      <c r="L1328" s="95">
        <v>0</v>
      </c>
      <c r="M1328" s="96">
        <v>2025</v>
      </c>
      <c r="N1328" s="97">
        <v>0</v>
      </c>
      <c r="O1328" s="98">
        <v>46020</v>
      </c>
      <c r="P1328" s="98">
        <v>46020</v>
      </c>
      <c r="Q1328" s="99">
        <v>0</v>
      </c>
    </row>
    <row r="1329" spans="1:17">
      <c r="A1329" s="7">
        <v>2025</v>
      </c>
      <c r="B1329" s="8" t="s">
        <v>434</v>
      </c>
      <c r="C1329" s="94" t="s">
        <v>435</v>
      </c>
      <c r="D1329" s="95">
        <v>3215062</v>
      </c>
      <c r="E1329" s="95">
        <v>2</v>
      </c>
      <c r="F1329" s="95"/>
      <c r="G1329" s="95">
        <v>87100</v>
      </c>
      <c r="H1329" s="95" t="s">
        <v>324</v>
      </c>
      <c r="I1329" s="95"/>
      <c r="J1329" s="95" t="s">
        <v>324</v>
      </c>
      <c r="K1329" s="95" t="b">
        <v>1</v>
      </c>
      <c r="L1329" s="95">
        <v>12</v>
      </c>
      <c r="M1329" s="96">
        <v>2037</v>
      </c>
      <c r="N1329" s="97">
        <v>0</v>
      </c>
      <c r="O1329" s="98">
        <v>46020</v>
      </c>
      <c r="P1329" s="98">
        <v>46020</v>
      </c>
      <c r="Q1329" s="99">
        <v>0</v>
      </c>
    </row>
    <row r="1330" spans="1:17">
      <c r="A1330" s="7">
        <v>2025</v>
      </c>
      <c r="B1330" s="8" t="s">
        <v>434</v>
      </c>
      <c r="C1330" s="94" t="s">
        <v>435</v>
      </c>
      <c r="D1330" s="95">
        <v>3215062</v>
      </c>
      <c r="E1330" s="95">
        <v>2</v>
      </c>
      <c r="F1330" s="95"/>
      <c r="G1330" s="95">
        <v>87100</v>
      </c>
      <c r="H1330" s="95" t="s">
        <v>324</v>
      </c>
      <c r="I1330" s="95"/>
      <c r="J1330" s="95" t="s">
        <v>324</v>
      </c>
      <c r="K1330" s="95" t="b">
        <v>1</v>
      </c>
      <c r="L1330" s="95">
        <v>6</v>
      </c>
      <c r="M1330" s="96">
        <v>2031</v>
      </c>
      <c r="N1330" s="97">
        <v>0</v>
      </c>
      <c r="O1330" s="98">
        <v>46020</v>
      </c>
      <c r="P1330" s="98">
        <v>46020</v>
      </c>
      <c r="Q1330" s="99">
        <v>0</v>
      </c>
    </row>
    <row r="1331" spans="1:17">
      <c r="A1331" s="7">
        <v>2025</v>
      </c>
      <c r="B1331" s="8" t="s">
        <v>434</v>
      </c>
      <c r="C1331" s="94" t="s">
        <v>435</v>
      </c>
      <c r="D1331" s="95">
        <v>3215062</v>
      </c>
      <c r="E1331" s="95">
        <v>2</v>
      </c>
      <c r="F1331" s="95"/>
      <c r="G1331" s="95">
        <v>87100</v>
      </c>
      <c r="H1331" s="95" t="s">
        <v>324</v>
      </c>
      <c r="I1331" s="95"/>
      <c r="J1331" s="95" t="s">
        <v>324</v>
      </c>
      <c r="K1331" s="95" t="b">
        <v>1</v>
      </c>
      <c r="L1331" s="95">
        <v>2</v>
      </c>
      <c r="M1331" s="96">
        <v>2027</v>
      </c>
      <c r="N1331" s="97">
        <v>0</v>
      </c>
      <c r="O1331" s="98">
        <v>46020</v>
      </c>
      <c r="P1331" s="98">
        <v>46020</v>
      </c>
      <c r="Q1331" s="99">
        <v>0</v>
      </c>
    </row>
    <row r="1332" spans="1:17">
      <c r="A1332" s="7">
        <v>2025</v>
      </c>
      <c r="B1332" s="8" t="s">
        <v>434</v>
      </c>
      <c r="C1332" s="94" t="s">
        <v>435</v>
      </c>
      <c r="D1332" s="95">
        <v>3215062</v>
      </c>
      <c r="E1332" s="95">
        <v>2</v>
      </c>
      <c r="F1332" s="95"/>
      <c r="G1332" s="95">
        <v>87100</v>
      </c>
      <c r="H1332" s="95" t="s">
        <v>324</v>
      </c>
      <c r="I1332" s="95"/>
      <c r="J1332" s="95" t="s">
        <v>324</v>
      </c>
      <c r="K1332" s="95" t="b">
        <v>1</v>
      </c>
      <c r="L1332" s="95">
        <v>7</v>
      </c>
      <c r="M1332" s="96">
        <v>2032</v>
      </c>
      <c r="N1332" s="97">
        <v>0</v>
      </c>
      <c r="O1332" s="98">
        <v>46020</v>
      </c>
      <c r="P1332" s="98">
        <v>46020</v>
      </c>
      <c r="Q1332" s="99">
        <v>0</v>
      </c>
    </row>
    <row r="1333" spans="1:17">
      <c r="A1333" s="7">
        <v>2025</v>
      </c>
      <c r="B1333" s="8" t="s">
        <v>434</v>
      </c>
      <c r="C1333" s="94" t="s">
        <v>435</v>
      </c>
      <c r="D1333" s="95">
        <v>3215062</v>
      </c>
      <c r="E1333" s="95">
        <v>2</v>
      </c>
      <c r="F1333" s="95"/>
      <c r="G1333" s="95">
        <v>87100</v>
      </c>
      <c r="H1333" s="95" t="s">
        <v>324</v>
      </c>
      <c r="I1333" s="95"/>
      <c r="J1333" s="95" t="s">
        <v>324</v>
      </c>
      <c r="K1333" s="95" t="b">
        <v>1</v>
      </c>
      <c r="L1333" s="95">
        <v>9</v>
      </c>
      <c r="M1333" s="96">
        <v>2034</v>
      </c>
      <c r="N1333" s="97">
        <v>0</v>
      </c>
      <c r="O1333" s="98">
        <v>46020</v>
      </c>
      <c r="P1333" s="98">
        <v>46020</v>
      </c>
      <c r="Q1333" s="99">
        <v>0</v>
      </c>
    </row>
    <row r="1334" spans="1:17">
      <c r="A1334" s="7">
        <v>2025</v>
      </c>
      <c r="B1334" s="8" t="s">
        <v>434</v>
      </c>
      <c r="C1334" s="94" t="s">
        <v>435</v>
      </c>
      <c r="D1334" s="95">
        <v>3215062</v>
      </c>
      <c r="E1334" s="95">
        <v>2</v>
      </c>
      <c r="F1334" s="95"/>
      <c r="G1334" s="95">
        <v>87100</v>
      </c>
      <c r="H1334" s="95" t="s">
        <v>324</v>
      </c>
      <c r="I1334" s="95"/>
      <c r="J1334" s="95" t="s">
        <v>324</v>
      </c>
      <c r="K1334" s="95" t="b">
        <v>1</v>
      </c>
      <c r="L1334" s="95">
        <v>10</v>
      </c>
      <c r="M1334" s="96">
        <v>2035</v>
      </c>
      <c r="N1334" s="97">
        <v>0</v>
      </c>
      <c r="O1334" s="98">
        <v>46020</v>
      </c>
      <c r="P1334" s="98">
        <v>46020</v>
      </c>
      <c r="Q1334" s="99">
        <v>0</v>
      </c>
    </row>
    <row r="1335" spans="1:17">
      <c r="A1335" s="7">
        <v>2025</v>
      </c>
      <c r="B1335" s="8" t="s">
        <v>434</v>
      </c>
      <c r="C1335" s="94" t="s">
        <v>435</v>
      </c>
      <c r="D1335" s="95">
        <v>3215062</v>
      </c>
      <c r="E1335" s="95">
        <v>2</v>
      </c>
      <c r="F1335" s="95"/>
      <c r="G1335" s="95">
        <v>87100</v>
      </c>
      <c r="H1335" s="95" t="s">
        <v>324</v>
      </c>
      <c r="I1335" s="95"/>
      <c r="J1335" s="95" t="s">
        <v>324</v>
      </c>
      <c r="K1335" s="95" t="b">
        <v>1</v>
      </c>
      <c r="L1335" s="95">
        <v>1</v>
      </c>
      <c r="M1335" s="96">
        <v>2026</v>
      </c>
      <c r="N1335" s="97">
        <v>0</v>
      </c>
      <c r="O1335" s="98">
        <v>46020</v>
      </c>
      <c r="P1335" s="98">
        <v>46020</v>
      </c>
      <c r="Q1335" s="99">
        <v>0</v>
      </c>
    </row>
    <row r="1336" spans="1:17">
      <c r="A1336" s="7">
        <v>2025</v>
      </c>
      <c r="B1336" s="8" t="s">
        <v>434</v>
      </c>
      <c r="C1336" s="94" t="s">
        <v>435</v>
      </c>
      <c r="D1336" s="95">
        <v>3215062</v>
      </c>
      <c r="E1336" s="95">
        <v>2</v>
      </c>
      <c r="F1336" s="95"/>
      <c r="G1336" s="95">
        <v>87100</v>
      </c>
      <c r="H1336" s="95" t="s">
        <v>324</v>
      </c>
      <c r="I1336" s="95"/>
      <c r="J1336" s="95" t="s">
        <v>324</v>
      </c>
      <c r="K1336" s="95" t="b">
        <v>1</v>
      </c>
      <c r="L1336" s="95">
        <v>5</v>
      </c>
      <c r="M1336" s="96">
        <v>2030</v>
      </c>
      <c r="N1336" s="97">
        <v>0</v>
      </c>
      <c r="O1336" s="98">
        <v>46020</v>
      </c>
      <c r="P1336" s="98">
        <v>46020</v>
      </c>
      <c r="Q1336" s="99">
        <v>0</v>
      </c>
    </row>
    <row r="1337" spans="1:17">
      <c r="A1337" s="7">
        <v>2025</v>
      </c>
      <c r="B1337" s="8" t="s">
        <v>434</v>
      </c>
      <c r="C1337" s="94" t="s">
        <v>435</v>
      </c>
      <c r="D1337" s="95">
        <v>3215062</v>
      </c>
      <c r="E1337" s="95">
        <v>2</v>
      </c>
      <c r="F1337" s="95"/>
      <c r="G1337" s="95">
        <v>45000</v>
      </c>
      <c r="H1337" s="95">
        <v>4.5</v>
      </c>
      <c r="I1337" s="95"/>
      <c r="J1337" s="95" t="s">
        <v>138</v>
      </c>
      <c r="K1337" s="95" t="b">
        <v>0</v>
      </c>
      <c r="L1337" s="95">
        <v>10</v>
      </c>
      <c r="M1337" s="96">
        <v>2035</v>
      </c>
      <c r="N1337" s="97">
        <v>0</v>
      </c>
      <c r="O1337" s="98">
        <v>46020</v>
      </c>
      <c r="P1337" s="98">
        <v>46020</v>
      </c>
      <c r="Q1337" s="99">
        <v>0</v>
      </c>
    </row>
    <row r="1338" spans="1:17">
      <c r="A1338" s="7">
        <v>2025</v>
      </c>
      <c r="B1338" s="8" t="s">
        <v>434</v>
      </c>
      <c r="C1338" s="94" t="s">
        <v>435</v>
      </c>
      <c r="D1338" s="95">
        <v>3215062</v>
      </c>
      <c r="E1338" s="95">
        <v>2</v>
      </c>
      <c r="F1338" s="95"/>
      <c r="G1338" s="95">
        <v>45000</v>
      </c>
      <c r="H1338" s="95">
        <v>4.5</v>
      </c>
      <c r="I1338" s="95"/>
      <c r="J1338" s="95" t="s">
        <v>138</v>
      </c>
      <c r="K1338" s="95" t="b">
        <v>0</v>
      </c>
      <c r="L1338" s="95">
        <v>0</v>
      </c>
      <c r="M1338" s="96">
        <v>2025</v>
      </c>
      <c r="N1338" s="97">
        <v>0</v>
      </c>
      <c r="O1338" s="98">
        <v>46020</v>
      </c>
      <c r="P1338" s="98">
        <v>46020</v>
      </c>
      <c r="Q1338" s="99">
        <v>0</v>
      </c>
    </row>
    <row r="1339" spans="1:17">
      <c r="A1339" s="7">
        <v>2025</v>
      </c>
      <c r="B1339" s="8" t="s">
        <v>434</v>
      </c>
      <c r="C1339" s="94" t="s">
        <v>435</v>
      </c>
      <c r="D1339" s="95">
        <v>3215062</v>
      </c>
      <c r="E1339" s="95">
        <v>2</v>
      </c>
      <c r="F1339" s="95"/>
      <c r="G1339" s="95">
        <v>45000</v>
      </c>
      <c r="H1339" s="95">
        <v>4.5</v>
      </c>
      <c r="I1339" s="95"/>
      <c r="J1339" s="95" t="s">
        <v>138</v>
      </c>
      <c r="K1339" s="95" t="b">
        <v>0</v>
      </c>
      <c r="L1339" s="95">
        <v>4</v>
      </c>
      <c r="M1339" s="96">
        <v>2029</v>
      </c>
      <c r="N1339" s="97">
        <v>0</v>
      </c>
      <c r="O1339" s="98">
        <v>46020</v>
      </c>
      <c r="P1339" s="98">
        <v>46020</v>
      </c>
      <c r="Q1339" s="99">
        <v>0</v>
      </c>
    </row>
    <row r="1340" spans="1:17">
      <c r="A1340" s="7">
        <v>2025</v>
      </c>
      <c r="B1340" s="8" t="s">
        <v>434</v>
      </c>
      <c r="C1340" s="94" t="s">
        <v>435</v>
      </c>
      <c r="D1340" s="95">
        <v>3215062</v>
      </c>
      <c r="E1340" s="95">
        <v>2</v>
      </c>
      <c r="F1340" s="95"/>
      <c r="G1340" s="95">
        <v>45000</v>
      </c>
      <c r="H1340" s="95">
        <v>4.5</v>
      </c>
      <c r="I1340" s="95"/>
      <c r="J1340" s="95" t="s">
        <v>138</v>
      </c>
      <c r="K1340" s="95" t="b">
        <v>0</v>
      </c>
      <c r="L1340" s="95">
        <v>11</v>
      </c>
      <c r="M1340" s="96">
        <v>2036</v>
      </c>
      <c r="N1340" s="97">
        <v>0</v>
      </c>
      <c r="O1340" s="98">
        <v>46020</v>
      </c>
      <c r="P1340" s="98">
        <v>46020</v>
      </c>
      <c r="Q1340" s="99">
        <v>0</v>
      </c>
    </row>
    <row r="1341" spans="1:17">
      <c r="A1341" s="7">
        <v>2025</v>
      </c>
      <c r="B1341" s="8" t="s">
        <v>434</v>
      </c>
      <c r="C1341" s="94" t="s">
        <v>435</v>
      </c>
      <c r="D1341" s="95">
        <v>3215062</v>
      </c>
      <c r="E1341" s="95">
        <v>2</v>
      </c>
      <c r="F1341" s="95"/>
      <c r="G1341" s="95">
        <v>45000</v>
      </c>
      <c r="H1341" s="95">
        <v>4.5</v>
      </c>
      <c r="I1341" s="95"/>
      <c r="J1341" s="95" t="s">
        <v>138</v>
      </c>
      <c r="K1341" s="95" t="b">
        <v>0</v>
      </c>
      <c r="L1341" s="95">
        <v>2</v>
      </c>
      <c r="M1341" s="96">
        <v>2027</v>
      </c>
      <c r="N1341" s="97">
        <v>0</v>
      </c>
      <c r="O1341" s="98">
        <v>46020</v>
      </c>
      <c r="P1341" s="98">
        <v>46020</v>
      </c>
      <c r="Q1341" s="99">
        <v>0</v>
      </c>
    </row>
    <row r="1342" spans="1:17">
      <c r="A1342" s="7">
        <v>2025</v>
      </c>
      <c r="B1342" s="8" t="s">
        <v>434</v>
      </c>
      <c r="C1342" s="94" t="s">
        <v>435</v>
      </c>
      <c r="D1342" s="95">
        <v>3215062</v>
      </c>
      <c r="E1342" s="95">
        <v>2</v>
      </c>
      <c r="F1342" s="95"/>
      <c r="G1342" s="95">
        <v>45000</v>
      </c>
      <c r="H1342" s="95">
        <v>4.5</v>
      </c>
      <c r="I1342" s="95"/>
      <c r="J1342" s="95" t="s">
        <v>138</v>
      </c>
      <c r="K1342" s="95" t="b">
        <v>0</v>
      </c>
      <c r="L1342" s="95">
        <v>12</v>
      </c>
      <c r="M1342" s="96">
        <v>2037</v>
      </c>
      <c r="N1342" s="97">
        <v>0</v>
      </c>
      <c r="O1342" s="98">
        <v>46020</v>
      </c>
      <c r="P1342" s="98">
        <v>46020</v>
      </c>
      <c r="Q1342" s="99">
        <v>0</v>
      </c>
    </row>
    <row r="1343" spans="1:17">
      <c r="A1343" s="7">
        <v>2025</v>
      </c>
      <c r="B1343" s="8" t="s">
        <v>434</v>
      </c>
      <c r="C1343" s="94" t="s">
        <v>435</v>
      </c>
      <c r="D1343" s="95">
        <v>3215062</v>
      </c>
      <c r="E1343" s="95">
        <v>2</v>
      </c>
      <c r="F1343" s="95"/>
      <c r="G1343" s="95">
        <v>45000</v>
      </c>
      <c r="H1343" s="95">
        <v>4.5</v>
      </c>
      <c r="I1343" s="95"/>
      <c r="J1343" s="95" t="s">
        <v>138</v>
      </c>
      <c r="K1343" s="95" t="b">
        <v>0</v>
      </c>
      <c r="L1343" s="95">
        <v>1</v>
      </c>
      <c r="M1343" s="96">
        <v>2026</v>
      </c>
      <c r="N1343" s="97">
        <v>0</v>
      </c>
      <c r="O1343" s="98">
        <v>46020</v>
      </c>
      <c r="P1343" s="98">
        <v>46020</v>
      </c>
      <c r="Q1343" s="99">
        <v>0</v>
      </c>
    </row>
    <row r="1344" spans="1:17">
      <c r="A1344" s="7">
        <v>2025</v>
      </c>
      <c r="B1344" s="8" t="s">
        <v>434</v>
      </c>
      <c r="C1344" s="94" t="s">
        <v>435</v>
      </c>
      <c r="D1344" s="95">
        <v>3215062</v>
      </c>
      <c r="E1344" s="95">
        <v>2</v>
      </c>
      <c r="F1344" s="95"/>
      <c r="G1344" s="95">
        <v>45000</v>
      </c>
      <c r="H1344" s="95">
        <v>4.5</v>
      </c>
      <c r="I1344" s="95"/>
      <c r="J1344" s="95" t="s">
        <v>138</v>
      </c>
      <c r="K1344" s="95" t="b">
        <v>0</v>
      </c>
      <c r="L1344" s="95">
        <v>13</v>
      </c>
      <c r="M1344" s="96">
        <v>2038</v>
      </c>
      <c r="N1344" s="97">
        <v>0</v>
      </c>
      <c r="O1344" s="98">
        <v>46020</v>
      </c>
      <c r="P1344" s="98">
        <v>46020</v>
      </c>
      <c r="Q1344" s="99">
        <v>0</v>
      </c>
    </row>
    <row r="1345" spans="1:17">
      <c r="A1345" s="7">
        <v>2025</v>
      </c>
      <c r="B1345" s="8" t="s">
        <v>434</v>
      </c>
      <c r="C1345" s="94" t="s">
        <v>435</v>
      </c>
      <c r="D1345" s="95">
        <v>3215062</v>
      </c>
      <c r="E1345" s="95">
        <v>2</v>
      </c>
      <c r="F1345" s="95"/>
      <c r="G1345" s="95">
        <v>45000</v>
      </c>
      <c r="H1345" s="95">
        <v>4.5</v>
      </c>
      <c r="I1345" s="95"/>
      <c r="J1345" s="95" t="s">
        <v>138</v>
      </c>
      <c r="K1345" s="95" t="b">
        <v>0</v>
      </c>
      <c r="L1345" s="95">
        <v>5</v>
      </c>
      <c r="M1345" s="96">
        <v>2030</v>
      </c>
      <c r="N1345" s="97">
        <v>0</v>
      </c>
      <c r="O1345" s="98">
        <v>46020</v>
      </c>
      <c r="P1345" s="98">
        <v>46020</v>
      </c>
      <c r="Q1345" s="99">
        <v>0</v>
      </c>
    </row>
    <row r="1346" spans="1:17">
      <c r="A1346" s="7">
        <v>2025</v>
      </c>
      <c r="B1346" s="8" t="s">
        <v>434</v>
      </c>
      <c r="C1346" s="94" t="s">
        <v>435</v>
      </c>
      <c r="D1346" s="95">
        <v>3215062</v>
      </c>
      <c r="E1346" s="95">
        <v>2</v>
      </c>
      <c r="F1346" s="95"/>
      <c r="G1346" s="95">
        <v>45000</v>
      </c>
      <c r="H1346" s="95">
        <v>4.5</v>
      </c>
      <c r="I1346" s="95"/>
      <c r="J1346" s="95" t="s">
        <v>138</v>
      </c>
      <c r="K1346" s="95" t="b">
        <v>0</v>
      </c>
      <c r="L1346" s="95">
        <v>9</v>
      </c>
      <c r="M1346" s="96">
        <v>2034</v>
      </c>
      <c r="N1346" s="97">
        <v>0</v>
      </c>
      <c r="O1346" s="98">
        <v>46020</v>
      </c>
      <c r="P1346" s="98">
        <v>46020</v>
      </c>
      <c r="Q1346" s="99">
        <v>0</v>
      </c>
    </row>
    <row r="1347" spans="1:17">
      <c r="A1347" s="7">
        <v>2025</v>
      </c>
      <c r="B1347" s="8" t="s">
        <v>434</v>
      </c>
      <c r="C1347" s="94" t="s">
        <v>435</v>
      </c>
      <c r="D1347" s="95">
        <v>3215062</v>
      </c>
      <c r="E1347" s="95">
        <v>2</v>
      </c>
      <c r="F1347" s="95"/>
      <c r="G1347" s="95">
        <v>45000</v>
      </c>
      <c r="H1347" s="95">
        <v>4.5</v>
      </c>
      <c r="I1347" s="95"/>
      <c r="J1347" s="95" t="s">
        <v>138</v>
      </c>
      <c r="K1347" s="95" t="b">
        <v>0</v>
      </c>
      <c r="L1347" s="95">
        <v>6</v>
      </c>
      <c r="M1347" s="96">
        <v>2031</v>
      </c>
      <c r="N1347" s="97">
        <v>0</v>
      </c>
      <c r="O1347" s="98">
        <v>46020</v>
      </c>
      <c r="P1347" s="98">
        <v>46020</v>
      </c>
      <c r="Q1347" s="99">
        <v>0</v>
      </c>
    </row>
    <row r="1348" spans="1:17">
      <c r="A1348" s="7">
        <v>2025</v>
      </c>
      <c r="B1348" s="8" t="s">
        <v>434</v>
      </c>
      <c r="C1348" s="94" t="s">
        <v>435</v>
      </c>
      <c r="D1348" s="95">
        <v>3215062</v>
      </c>
      <c r="E1348" s="95">
        <v>2</v>
      </c>
      <c r="F1348" s="95"/>
      <c r="G1348" s="95">
        <v>45000</v>
      </c>
      <c r="H1348" s="95">
        <v>4.5</v>
      </c>
      <c r="I1348" s="95"/>
      <c r="J1348" s="95" t="s">
        <v>138</v>
      </c>
      <c r="K1348" s="95" t="b">
        <v>0</v>
      </c>
      <c r="L1348" s="95">
        <v>3</v>
      </c>
      <c r="M1348" s="96">
        <v>2028</v>
      </c>
      <c r="N1348" s="97">
        <v>0</v>
      </c>
      <c r="O1348" s="98">
        <v>46020</v>
      </c>
      <c r="P1348" s="98">
        <v>46020</v>
      </c>
      <c r="Q1348" s="99">
        <v>0</v>
      </c>
    </row>
    <row r="1349" spans="1:17">
      <c r="A1349" s="7">
        <v>2025</v>
      </c>
      <c r="B1349" s="8" t="s">
        <v>434</v>
      </c>
      <c r="C1349" s="94" t="s">
        <v>435</v>
      </c>
      <c r="D1349" s="95">
        <v>3215062</v>
      </c>
      <c r="E1349" s="95">
        <v>2</v>
      </c>
      <c r="F1349" s="95"/>
      <c r="G1349" s="95">
        <v>45000</v>
      </c>
      <c r="H1349" s="95">
        <v>4.5</v>
      </c>
      <c r="I1349" s="95"/>
      <c r="J1349" s="95" t="s">
        <v>138</v>
      </c>
      <c r="K1349" s="95" t="b">
        <v>0</v>
      </c>
      <c r="L1349" s="95">
        <v>7</v>
      </c>
      <c r="M1349" s="96">
        <v>2032</v>
      </c>
      <c r="N1349" s="97">
        <v>0</v>
      </c>
      <c r="O1349" s="98">
        <v>46020</v>
      </c>
      <c r="P1349" s="98">
        <v>46020</v>
      </c>
      <c r="Q1349" s="99">
        <v>0</v>
      </c>
    </row>
    <row r="1350" spans="1:17">
      <c r="A1350" s="7">
        <v>2025</v>
      </c>
      <c r="B1350" s="8" t="s">
        <v>434</v>
      </c>
      <c r="C1350" s="94" t="s">
        <v>435</v>
      </c>
      <c r="D1350" s="95">
        <v>3215062</v>
      </c>
      <c r="E1350" s="95">
        <v>2</v>
      </c>
      <c r="F1350" s="95"/>
      <c r="G1350" s="95">
        <v>45000</v>
      </c>
      <c r="H1350" s="95">
        <v>4.5</v>
      </c>
      <c r="I1350" s="95"/>
      <c r="J1350" s="95" t="s">
        <v>138</v>
      </c>
      <c r="K1350" s="95" t="b">
        <v>0</v>
      </c>
      <c r="L1350" s="95">
        <v>8</v>
      </c>
      <c r="M1350" s="96">
        <v>2033</v>
      </c>
      <c r="N1350" s="97">
        <v>0</v>
      </c>
      <c r="O1350" s="98">
        <v>46020</v>
      </c>
      <c r="P1350" s="98">
        <v>46020</v>
      </c>
      <c r="Q1350" s="99">
        <v>0</v>
      </c>
    </row>
    <row r="1351" spans="1:17">
      <c r="A1351" s="7">
        <v>2025</v>
      </c>
      <c r="B1351" s="8" t="s">
        <v>434</v>
      </c>
      <c r="C1351" s="94" t="s">
        <v>435</v>
      </c>
      <c r="D1351" s="95">
        <v>3215062</v>
      </c>
      <c r="E1351" s="95">
        <v>2</v>
      </c>
      <c r="F1351" s="95"/>
      <c r="G1351" s="95">
        <v>44100</v>
      </c>
      <c r="H1351" s="95" t="s">
        <v>41</v>
      </c>
      <c r="I1351" s="95"/>
      <c r="J1351" s="95" t="s">
        <v>135</v>
      </c>
      <c r="K1351" s="95" t="b">
        <v>1</v>
      </c>
      <c r="L1351" s="95">
        <v>5</v>
      </c>
      <c r="M1351" s="96">
        <v>2030</v>
      </c>
      <c r="N1351" s="97">
        <v>0</v>
      </c>
      <c r="O1351" s="98">
        <v>46020</v>
      </c>
      <c r="P1351" s="98">
        <v>46020</v>
      </c>
      <c r="Q1351" s="99">
        <v>0</v>
      </c>
    </row>
    <row r="1352" spans="1:17">
      <c r="A1352" s="7">
        <v>2025</v>
      </c>
      <c r="B1352" s="8" t="s">
        <v>434</v>
      </c>
      <c r="C1352" s="94" t="s">
        <v>435</v>
      </c>
      <c r="D1352" s="95">
        <v>3215062</v>
      </c>
      <c r="E1352" s="95">
        <v>2</v>
      </c>
      <c r="F1352" s="95"/>
      <c r="G1352" s="95">
        <v>44100</v>
      </c>
      <c r="H1352" s="95" t="s">
        <v>41</v>
      </c>
      <c r="I1352" s="95"/>
      <c r="J1352" s="95" t="s">
        <v>135</v>
      </c>
      <c r="K1352" s="95" t="b">
        <v>1</v>
      </c>
      <c r="L1352" s="95">
        <v>1</v>
      </c>
      <c r="M1352" s="96">
        <v>2026</v>
      </c>
      <c r="N1352" s="97">
        <v>0</v>
      </c>
      <c r="O1352" s="98">
        <v>46020</v>
      </c>
      <c r="P1352" s="98">
        <v>46020</v>
      </c>
      <c r="Q1352" s="99">
        <v>0</v>
      </c>
    </row>
    <row r="1353" spans="1:17">
      <c r="A1353" s="7">
        <v>2025</v>
      </c>
      <c r="B1353" s="8" t="s">
        <v>434</v>
      </c>
      <c r="C1353" s="94" t="s">
        <v>435</v>
      </c>
      <c r="D1353" s="95">
        <v>3215062</v>
      </c>
      <c r="E1353" s="95">
        <v>2</v>
      </c>
      <c r="F1353" s="95"/>
      <c r="G1353" s="95">
        <v>44100</v>
      </c>
      <c r="H1353" s="95" t="s">
        <v>41</v>
      </c>
      <c r="I1353" s="95"/>
      <c r="J1353" s="95" t="s">
        <v>135</v>
      </c>
      <c r="K1353" s="95" t="b">
        <v>1</v>
      </c>
      <c r="L1353" s="95">
        <v>0</v>
      </c>
      <c r="M1353" s="96">
        <v>2025</v>
      </c>
      <c r="N1353" s="97">
        <v>0</v>
      </c>
      <c r="O1353" s="98">
        <v>46020</v>
      </c>
      <c r="P1353" s="98">
        <v>46020</v>
      </c>
      <c r="Q1353" s="99">
        <v>0</v>
      </c>
    </row>
    <row r="1354" spans="1:17">
      <c r="A1354" s="7">
        <v>2025</v>
      </c>
      <c r="B1354" s="8" t="s">
        <v>434</v>
      </c>
      <c r="C1354" s="94" t="s">
        <v>435</v>
      </c>
      <c r="D1354" s="95">
        <v>3215062</v>
      </c>
      <c r="E1354" s="95">
        <v>2</v>
      </c>
      <c r="F1354" s="95"/>
      <c r="G1354" s="95">
        <v>44100</v>
      </c>
      <c r="H1354" s="95" t="s">
        <v>41</v>
      </c>
      <c r="I1354" s="95"/>
      <c r="J1354" s="95" t="s">
        <v>135</v>
      </c>
      <c r="K1354" s="95" t="b">
        <v>1</v>
      </c>
      <c r="L1354" s="95">
        <v>2</v>
      </c>
      <c r="M1354" s="96">
        <v>2027</v>
      </c>
      <c r="N1354" s="97">
        <v>0</v>
      </c>
      <c r="O1354" s="98">
        <v>46020</v>
      </c>
      <c r="P1354" s="98">
        <v>46020</v>
      </c>
      <c r="Q1354" s="99">
        <v>0</v>
      </c>
    </row>
    <row r="1355" spans="1:17">
      <c r="A1355" s="7">
        <v>2025</v>
      </c>
      <c r="B1355" s="8" t="s">
        <v>434</v>
      </c>
      <c r="C1355" s="94" t="s">
        <v>435</v>
      </c>
      <c r="D1355" s="95">
        <v>3215062</v>
      </c>
      <c r="E1355" s="95">
        <v>2</v>
      </c>
      <c r="F1355" s="95"/>
      <c r="G1355" s="95">
        <v>44100</v>
      </c>
      <c r="H1355" s="95" t="s">
        <v>41</v>
      </c>
      <c r="I1355" s="95"/>
      <c r="J1355" s="95" t="s">
        <v>135</v>
      </c>
      <c r="K1355" s="95" t="b">
        <v>1</v>
      </c>
      <c r="L1355" s="95">
        <v>9</v>
      </c>
      <c r="M1355" s="96">
        <v>2034</v>
      </c>
      <c r="N1355" s="97">
        <v>0</v>
      </c>
      <c r="O1355" s="98">
        <v>46020</v>
      </c>
      <c r="P1355" s="98">
        <v>46020</v>
      </c>
      <c r="Q1355" s="99">
        <v>0</v>
      </c>
    </row>
    <row r="1356" spans="1:17">
      <c r="A1356" s="7">
        <v>2025</v>
      </c>
      <c r="B1356" s="8" t="s">
        <v>434</v>
      </c>
      <c r="C1356" s="94" t="s">
        <v>435</v>
      </c>
      <c r="D1356" s="95">
        <v>3215062</v>
      </c>
      <c r="E1356" s="95">
        <v>2</v>
      </c>
      <c r="F1356" s="95"/>
      <c r="G1356" s="95">
        <v>44100</v>
      </c>
      <c r="H1356" s="95" t="s">
        <v>41</v>
      </c>
      <c r="I1356" s="95"/>
      <c r="J1356" s="95" t="s">
        <v>135</v>
      </c>
      <c r="K1356" s="95" t="b">
        <v>1</v>
      </c>
      <c r="L1356" s="95">
        <v>13</v>
      </c>
      <c r="M1356" s="96">
        <v>2038</v>
      </c>
      <c r="N1356" s="97">
        <v>0</v>
      </c>
      <c r="O1356" s="98">
        <v>46020</v>
      </c>
      <c r="P1356" s="98">
        <v>46020</v>
      </c>
      <c r="Q1356" s="99">
        <v>0</v>
      </c>
    </row>
    <row r="1357" spans="1:17">
      <c r="A1357" s="7">
        <v>2025</v>
      </c>
      <c r="B1357" s="8" t="s">
        <v>434</v>
      </c>
      <c r="C1357" s="94" t="s">
        <v>435</v>
      </c>
      <c r="D1357" s="95">
        <v>3215062</v>
      </c>
      <c r="E1357" s="95">
        <v>2</v>
      </c>
      <c r="F1357" s="95"/>
      <c r="G1357" s="95">
        <v>44100</v>
      </c>
      <c r="H1357" s="95" t="s">
        <v>41</v>
      </c>
      <c r="I1357" s="95"/>
      <c r="J1357" s="95" t="s">
        <v>135</v>
      </c>
      <c r="K1357" s="95" t="b">
        <v>1</v>
      </c>
      <c r="L1357" s="95">
        <v>8</v>
      </c>
      <c r="M1357" s="96">
        <v>2033</v>
      </c>
      <c r="N1357" s="97">
        <v>0</v>
      </c>
      <c r="O1357" s="98">
        <v>46020</v>
      </c>
      <c r="P1357" s="98">
        <v>46020</v>
      </c>
      <c r="Q1357" s="99">
        <v>0</v>
      </c>
    </row>
    <row r="1358" spans="1:17">
      <c r="A1358" s="7">
        <v>2025</v>
      </c>
      <c r="B1358" s="8" t="s">
        <v>434</v>
      </c>
      <c r="C1358" s="94" t="s">
        <v>435</v>
      </c>
      <c r="D1358" s="95">
        <v>3215062</v>
      </c>
      <c r="E1358" s="95">
        <v>2</v>
      </c>
      <c r="F1358" s="95"/>
      <c r="G1358" s="95">
        <v>44100</v>
      </c>
      <c r="H1358" s="95" t="s">
        <v>41</v>
      </c>
      <c r="I1358" s="95"/>
      <c r="J1358" s="95" t="s">
        <v>135</v>
      </c>
      <c r="K1358" s="95" t="b">
        <v>1</v>
      </c>
      <c r="L1358" s="95">
        <v>10</v>
      </c>
      <c r="M1358" s="96">
        <v>2035</v>
      </c>
      <c r="N1358" s="97">
        <v>0</v>
      </c>
      <c r="O1358" s="98">
        <v>46020</v>
      </c>
      <c r="P1358" s="98">
        <v>46020</v>
      </c>
      <c r="Q1358" s="99">
        <v>0</v>
      </c>
    </row>
    <row r="1359" spans="1:17">
      <c r="A1359" s="7">
        <v>2025</v>
      </c>
      <c r="B1359" s="8" t="s">
        <v>434</v>
      </c>
      <c r="C1359" s="94" t="s">
        <v>435</v>
      </c>
      <c r="D1359" s="95">
        <v>3215062</v>
      </c>
      <c r="E1359" s="95">
        <v>2</v>
      </c>
      <c r="F1359" s="95"/>
      <c r="G1359" s="95">
        <v>44100</v>
      </c>
      <c r="H1359" s="95" t="s">
        <v>41</v>
      </c>
      <c r="I1359" s="95"/>
      <c r="J1359" s="95" t="s">
        <v>135</v>
      </c>
      <c r="K1359" s="95" t="b">
        <v>1</v>
      </c>
      <c r="L1359" s="95">
        <v>12</v>
      </c>
      <c r="M1359" s="96">
        <v>2037</v>
      </c>
      <c r="N1359" s="97">
        <v>0</v>
      </c>
      <c r="O1359" s="98">
        <v>46020</v>
      </c>
      <c r="P1359" s="98">
        <v>46020</v>
      </c>
      <c r="Q1359" s="99">
        <v>0</v>
      </c>
    </row>
    <row r="1360" spans="1:17">
      <c r="A1360" s="7">
        <v>2025</v>
      </c>
      <c r="B1360" s="8" t="s">
        <v>434</v>
      </c>
      <c r="C1360" s="94" t="s">
        <v>435</v>
      </c>
      <c r="D1360" s="95">
        <v>3215062</v>
      </c>
      <c r="E1360" s="95">
        <v>2</v>
      </c>
      <c r="F1360" s="95"/>
      <c r="G1360" s="95">
        <v>44100</v>
      </c>
      <c r="H1360" s="95" t="s">
        <v>41</v>
      </c>
      <c r="I1360" s="95"/>
      <c r="J1360" s="95" t="s">
        <v>135</v>
      </c>
      <c r="K1360" s="95" t="b">
        <v>1</v>
      </c>
      <c r="L1360" s="95">
        <v>11</v>
      </c>
      <c r="M1360" s="96">
        <v>2036</v>
      </c>
      <c r="N1360" s="97">
        <v>0</v>
      </c>
      <c r="O1360" s="98">
        <v>46020</v>
      </c>
      <c r="P1360" s="98">
        <v>46020</v>
      </c>
      <c r="Q1360" s="99">
        <v>0</v>
      </c>
    </row>
    <row r="1361" spans="1:17">
      <c r="A1361" s="7">
        <v>2025</v>
      </c>
      <c r="B1361" s="8" t="s">
        <v>434</v>
      </c>
      <c r="C1361" s="94" t="s">
        <v>435</v>
      </c>
      <c r="D1361" s="95">
        <v>3215062</v>
      </c>
      <c r="E1361" s="95">
        <v>2</v>
      </c>
      <c r="F1361" s="95"/>
      <c r="G1361" s="95">
        <v>44100</v>
      </c>
      <c r="H1361" s="95" t="s">
        <v>41</v>
      </c>
      <c r="I1361" s="95"/>
      <c r="J1361" s="95" t="s">
        <v>135</v>
      </c>
      <c r="K1361" s="95" t="b">
        <v>1</v>
      </c>
      <c r="L1361" s="95">
        <v>3</v>
      </c>
      <c r="M1361" s="96">
        <v>2028</v>
      </c>
      <c r="N1361" s="97">
        <v>0</v>
      </c>
      <c r="O1361" s="98">
        <v>46020</v>
      </c>
      <c r="P1361" s="98">
        <v>46020</v>
      </c>
      <c r="Q1361" s="99">
        <v>0</v>
      </c>
    </row>
    <row r="1362" spans="1:17">
      <c r="A1362" s="7">
        <v>2025</v>
      </c>
      <c r="B1362" s="8" t="s">
        <v>434</v>
      </c>
      <c r="C1362" s="94" t="s">
        <v>435</v>
      </c>
      <c r="D1362" s="95">
        <v>3215062</v>
      </c>
      <c r="E1362" s="95">
        <v>2</v>
      </c>
      <c r="F1362" s="95"/>
      <c r="G1362" s="95">
        <v>44100</v>
      </c>
      <c r="H1362" s="95" t="s">
        <v>41</v>
      </c>
      <c r="I1362" s="95"/>
      <c r="J1362" s="95" t="s">
        <v>135</v>
      </c>
      <c r="K1362" s="95" t="b">
        <v>1</v>
      </c>
      <c r="L1362" s="95">
        <v>7</v>
      </c>
      <c r="M1362" s="96">
        <v>2032</v>
      </c>
      <c r="N1362" s="97">
        <v>0</v>
      </c>
      <c r="O1362" s="98">
        <v>46020</v>
      </c>
      <c r="P1362" s="98">
        <v>46020</v>
      </c>
      <c r="Q1362" s="99">
        <v>0</v>
      </c>
    </row>
    <row r="1363" spans="1:17">
      <c r="A1363" s="7">
        <v>2025</v>
      </c>
      <c r="B1363" s="8" t="s">
        <v>434</v>
      </c>
      <c r="C1363" s="94" t="s">
        <v>435</v>
      </c>
      <c r="D1363" s="95">
        <v>3215062</v>
      </c>
      <c r="E1363" s="95">
        <v>2</v>
      </c>
      <c r="F1363" s="95"/>
      <c r="G1363" s="95">
        <v>44100</v>
      </c>
      <c r="H1363" s="95" t="s">
        <v>41</v>
      </c>
      <c r="I1363" s="95"/>
      <c r="J1363" s="95" t="s">
        <v>135</v>
      </c>
      <c r="K1363" s="95" t="b">
        <v>1</v>
      </c>
      <c r="L1363" s="95">
        <v>6</v>
      </c>
      <c r="M1363" s="96">
        <v>2031</v>
      </c>
      <c r="N1363" s="97">
        <v>0</v>
      </c>
      <c r="O1363" s="98">
        <v>46020</v>
      </c>
      <c r="P1363" s="98">
        <v>46020</v>
      </c>
      <c r="Q1363" s="99">
        <v>0</v>
      </c>
    </row>
    <row r="1364" spans="1:17">
      <c r="A1364" s="7">
        <v>2025</v>
      </c>
      <c r="B1364" s="8" t="s">
        <v>434</v>
      </c>
      <c r="C1364" s="94" t="s">
        <v>435</v>
      </c>
      <c r="D1364" s="95">
        <v>3215062</v>
      </c>
      <c r="E1364" s="95">
        <v>2</v>
      </c>
      <c r="F1364" s="95"/>
      <c r="G1364" s="95">
        <v>44100</v>
      </c>
      <c r="H1364" s="95" t="s">
        <v>41</v>
      </c>
      <c r="I1364" s="95"/>
      <c r="J1364" s="95" t="s">
        <v>135</v>
      </c>
      <c r="K1364" s="95" t="b">
        <v>1</v>
      </c>
      <c r="L1364" s="95">
        <v>4</v>
      </c>
      <c r="M1364" s="96">
        <v>2029</v>
      </c>
      <c r="N1364" s="97">
        <v>0</v>
      </c>
      <c r="O1364" s="98">
        <v>46020</v>
      </c>
      <c r="P1364" s="98">
        <v>46020</v>
      </c>
      <c r="Q1364" s="99">
        <v>0</v>
      </c>
    </row>
    <row r="1365" spans="1:17">
      <c r="A1365" s="7">
        <v>2025</v>
      </c>
      <c r="B1365" s="8" t="s">
        <v>434</v>
      </c>
      <c r="C1365" s="94" t="s">
        <v>435</v>
      </c>
      <c r="D1365" s="95">
        <v>3215062</v>
      </c>
      <c r="E1365" s="95">
        <v>2</v>
      </c>
      <c r="F1365" s="95"/>
      <c r="G1365" s="95">
        <v>84100</v>
      </c>
      <c r="H1365" s="95" t="s">
        <v>210</v>
      </c>
      <c r="I1365" s="95" t="s">
        <v>438</v>
      </c>
      <c r="J1365" s="95" t="s">
        <v>161</v>
      </c>
      <c r="K1365" s="95" t="b">
        <v>0</v>
      </c>
      <c r="L1365" s="95">
        <v>9</v>
      </c>
      <c r="M1365" s="96">
        <v>2034</v>
      </c>
      <c r="N1365" s="97">
        <v>248</v>
      </c>
      <c r="O1365" s="98">
        <v>46020</v>
      </c>
      <c r="P1365" s="98">
        <v>46020</v>
      </c>
      <c r="Q1365" s="99">
        <v>0</v>
      </c>
    </row>
    <row r="1366" spans="1:17">
      <c r="A1366" s="7">
        <v>2025</v>
      </c>
      <c r="B1366" s="8" t="s">
        <v>434</v>
      </c>
      <c r="C1366" s="94" t="s">
        <v>435</v>
      </c>
      <c r="D1366" s="95">
        <v>3215062</v>
      </c>
      <c r="E1366" s="95">
        <v>2</v>
      </c>
      <c r="F1366" s="95"/>
      <c r="G1366" s="95">
        <v>87110</v>
      </c>
      <c r="H1366" s="95" t="s">
        <v>325</v>
      </c>
      <c r="I1366" s="95"/>
      <c r="J1366" s="95" t="s">
        <v>325</v>
      </c>
      <c r="K1366" s="95" t="b">
        <v>1</v>
      </c>
      <c r="L1366" s="95">
        <v>11</v>
      </c>
      <c r="M1366" s="96">
        <v>2036</v>
      </c>
      <c r="N1366" s="97">
        <v>0</v>
      </c>
      <c r="O1366" s="98">
        <v>46020</v>
      </c>
      <c r="P1366" s="98">
        <v>46020</v>
      </c>
      <c r="Q1366" s="99">
        <v>0</v>
      </c>
    </row>
    <row r="1367" spans="1:17">
      <c r="A1367" s="7">
        <v>2025</v>
      </c>
      <c r="B1367" s="8" t="s">
        <v>434</v>
      </c>
      <c r="C1367" s="94" t="s">
        <v>435</v>
      </c>
      <c r="D1367" s="95">
        <v>3215062</v>
      </c>
      <c r="E1367" s="95">
        <v>2</v>
      </c>
      <c r="F1367" s="95"/>
      <c r="G1367" s="95">
        <v>87110</v>
      </c>
      <c r="H1367" s="95" t="s">
        <v>325</v>
      </c>
      <c r="I1367" s="95"/>
      <c r="J1367" s="95" t="s">
        <v>325</v>
      </c>
      <c r="K1367" s="95" t="b">
        <v>1</v>
      </c>
      <c r="L1367" s="95">
        <v>10</v>
      </c>
      <c r="M1367" s="96">
        <v>2035</v>
      </c>
      <c r="N1367" s="97">
        <v>0</v>
      </c>
      <c r="O1367" s="98">
        <v>46020</v>
      </c>
      <c r="P1367" s="98">
        <v>46020</v>
      </c>
      <c r="Q1367" s="99">
        <v>0</v>
      </c>
    </row>
    <row r="1368" spans="1:17">
      <c r="A1368" s="7">
        <v>2025</v>
      </c>
      <c r="B1368" s="8" t="s">
        <v>434</v>
      </c>
      <c r="C1368" s="94" t="s">
        <v>435</v>
      </c>
      <c r="D1368" s="95">
        <v>3215062</v>
      </c>
      <c r="E1368" s="95">
        <v>2</v>
      </c>
      <c r="F1368" s="95"/>
      <c r="G1368" s="95">
        <v>84100</v>
      </c>
      <c r="H1368" s="95" t="s">
        <v>210</v>
      </c>
      <c r="I1368" s="95" t="s">
        <v>438</v>
      </c>
      <c r="J1368" s="95" t="s">
        <v>161</v>
      </c>
      <c r="K1368" s="95" t="b">
        <v>0</v>
      </c>
      <c r="L1368" s="95">
        <v>6</v>
      </c>
      <c r="M1368" s="96">
        <v>2031</v>
      </c>
      <c r="N1368" s="97">
        <v>615</v>
      </c>
      <c r="O1368" s="98">
        <v>46020</v>
      </c>
      <c r="P1368" s="98">
        <v>46020</v>
      </c>
      <c r="Q1368" s="99">
        <v>0</v>
      </c>
    </row>
    <row r="1369" spans="1:17">
      <c r="A1369" s="7">
        <v>2025</v>
      </c>
      <c r="B1369" s="8" t="s">
        <v>434</v>
      </c>
      <c r="C1369" s="94" t="s">
        <v>435</v>
      </c>
      <c r="D1369" s="95">
        <v>3215062</v>
      </c>
      <c r="E1369" s="95">
        <v>2</v>
      </c>
      <c r="F1369" s="95"/>
      <c r="G1369" s="95">
        <v>84100</v>
      </c>
      <c r="H1369" s="95" t="s">
        <v>210</v>
      </c>
      <c r="I1369" s="95" t="s">
        <v>438</v>
      </c>
      <c r="J1369" s="95" t="s">
        <v>161</v>
      </c>
      <c r="K1369" s="95" t="b">
        <v>0</v>
      </c>
      <c r="L1369" s="95">
        <v>4</v>
      </c>
      <c r="M1369" s="96">
        <v>2029</v>
      </c>
      <c r="N1369" s="97">
        <v>1280</v>
      </c>
      <c r="O1369" s="98">
        <v>46020</v>
      </c>
      <c r="P1369" s="98">
        <v>46020</v>
      </c>
      <c r="Q1369" s="99">
        <v>0</v>
      </c>
    </row>
    <row r="1370" spans="1:17">
      <c r="A1370" s="7">
        <v>2025</v>
      </c>
      <c r="B1370" s="8" t="s">
        <v>434</v>
      </c>
      <c r="C1370" s="94" t="s">
        <v>435</v>
      </c>
      <c r="D1370" s="95">
        <v>3215062</v>
      </c>
      <c r="E1370" s="95">
        <v>2</v>
      </c>
      <c r="F1370" s="95"/>
      <c r="G1370" s="95">
        <v>84100</v>
      </c>
      <c r="H1370" s="95" t="s">
        <v>210</v>
      </c>
      <c r="I1370" s="95" t="s">
        <v>438</v>
      </c>
      <c r="J1370" s="95" t="s">
        <v>161</v>
      </c>
      <c r="K1370" s="95" t="b">
        <v>0</v>
      </c>
      <c r="L1370" s="95">
        <v>7</v>
      </c>
      <c r="M1370" s="96">
        <v>2032</v>
      </c>
      <c r="N1370" s="97">
        <v>484</v>
      </c>
      <c r="O1370" s="98">
        <v>46020</v>
      </c>
      <c r="P1370" s="98">
        <v>46020</v>
      </c>
      <c r="Q1370" s="99">
        <v>0</v>
      </c>
    </row>
    <row r="1371" spans="1:17">
      <c r="A1371" s="7">
        <v>2025</v>
      </c>
      <c r="B1371" s="8" t="s">
        <v>434</v>
      </c>
      <c r="C1371" s="94" t="s">
        <v>435</v>
      </c>
      <c r="D1371" s="95">
        <v>3215062</v>
      </c>
      <c r="E1371" s="95">
        <v>2</v>
      </c>
      <c r="F1371" s="95"/>
      <c r="G1371" s="95">
        <v>84100</v>
      </c>
      <c r="H1371" s="95" t="s">
        <v>210</v>
      </c>
      <c r="I1371" s="95" t="s">
        <v>438</v>
      </c>
      <c r="J1371" s="95" t="s">
        <v>161</v>
      </c>
      <c r="K1371" s="95" t="b">
        <v>0</v>
      </c>
      <c r="L1371" s="95">
        <v>8</v>
      </c>
      <c r="M1371" s="96">
        <v>2033</v>
      </c>
      <c r="N1371" s="97">
        <v>502</v>
      </c>
      <c r="O1371" s="98">
        <v>46020</v>
      </c>
      <c r="P1371" s="98">
        <v>46020</v>
      </c>
      <c r="Q1371" s="99">
        <v>0</v>
      </c>
    </row>
    <row r="1372" spans="1:17">
      <c r="A1372" s="7">
        <v>2025</v>
      </c>
      <c r="B1372" s="8" t="s">
        <v>434</v>
      </c>
      <c r="C1372" s="94" t="s">
        <v>435</v>
      </c>
      <c r="D1372" s="95">
        <v>3215062</v>
      </c>
      <c r="E1372" s="95">
        <v>2</v>
      </c>
      <c r="F1372" s="95"/>
      <c r="G1372" s="95">
        <v>84100</v>
      </c>
      <c r="H1372" s="95" t="s">
        <v>210</v>
      </c>
      <c r="I1372" s="95" t="s">
        <v>438</v>
      </c>
      <c r="J1372" s="95" t="s">
        <v>161</v>
      </c>
      <c r="K1372" s="95" t="b">
        <v>0</v>
      </c>
      <c r="L1372" s="95">
        <v>1</v>
      </c>
      <c r="M1372" s="96">
        <v>2026</v>
      </c>
      <c r="N1372" s="97">
        <v>1470</v>
      </c>
      <c r="O1372" s="98">
        <v>46020</v>
      </c>
      <c r="P1372" s="98">
        <v>46020</v>
      </c>
      <c r="Q1372" s="99">
        <v>0</v>
      </c>
    </row>
    <row r="1373" spans="1:17">
      <c r="A1373" s="7">
        <v>2025</v>
      </c>
      <c r="B1373" s="8" t="s">
        <v>434</v>
      </c>
      <c r="C1373" s="94" t="s">
        <v>435</v>
      </c>
      <c r="D1373" s="95">
        <v>3215062</v>
      </c>
      <c r="E1373" s="95">
        <v>2</v>
      </c>
      <c r="F1373" s="95"/>
      <c r="G1373" s="95">
        <v>84100</v>
      </c>
      <c r="H1373" s="95" t="s">
        <v>210</v>
      </c>
      <c r="I1373" s="95" t="s">
        <v>438</v>
      </c>
      <c r="J1373" s="95" t="s">
        <v>161</v>
      </c>
      <c r="K1373" s="95" t="b">
        <v>0</v>
      </c>
      <c r="L1373" s="95">
        <v>2</v>
      </c>
      <c r="M1373" s="96">
        <v>2027</v>
      </c>
      <c r="N1373" s="97">
        <v>1627</v>
      </c>
      <c r="O1373" s="98">
        <v>46020</v>
      </c>
      <c r="P1373" s="98">
        <v>46020</v>
      </c>
      <c r="Q1373" s="99">
        <v>0</v>
      </c>
    </row>
    <row r="1374" spans="1:17">
      <c r="A1374" s="7">
        <v>2025</v>
      </c>
      <c r="B1374" s="8" t="s">
        <v>434</v>
      </c>
      <c r="C1374" s="94" t="s">
        <v>435</v>
      </c>
      <c r="D1374" s="95">
        <v>3215062</v>
      </c>
      <c r="E1374" s="95">
        <v>2</v>
      </c>
      <c r="F1374" s="95"/>
      <c r="G1374" s="95">
        <v>84100</v>
      </c>
      <c r="H1374" s="95" t="s">
        <v>210</v>
      </c>
      <c r="I1374" s="95" t="s">
        <v>438</v>
      </c>
      <c r="J1374" s="95" t="s">
        <v>161</v>
      </c>
      <c r="K1374" s="95" t="b">
        <v>0</v>
      </c>
      <c r="L1374" s="95">
        <v>12</v>
      </c>
      <c r="M1374" s="96">
        <v>2037</v>
      </c>
      <c r="N1374" s="97">
        <v>237</v>
      </c>
      <c r="O1374" s="98">
        <v>46020</v>
      </c>
      <c r="P1374" s="98">
        <v>46020</v>
      </c>
      <c r="Q1374" s="99">
        <v>0</v>
      </c>
    </row>
    <row r="1375" spans="1:17">
      <c r="A1375" s="7">
        <v>2025</v>
      </c>
      <c r="B1375" s="8" t="s">
        <v>434</v>
      </c>
      <c r="C1375" s="94" t="s">
        <v>435</v>
      </c>
      <c r="D1375" s="95">
        <v>3215062</v>
      </c>
      <c r="E1375" s="95">
        <v>2</v>
      </c>
      <c r="F1375" s="95"/>
      <c r="G1375" s="95">
        <v>84100</v>
      </c>
      <c r="H1375" s="95" t="s">
        <v>210</v>
      </c>
      <c r="I1375" s="95" t="s">
        <v>438</v>
      </c>
      <c r="J1375" s="95" t="s">
        <v>161</v>
      </c>
      <c r="K1375" s="95" t="b">
        <v>0</v>
      </c>
      <c r="L1375" s="95">
        <v>10</v>
      </c>
      <c r="M1375" s="96">
        <v>2035</v>
      </c>
      <c r="N1375" s="97">
        <v>210</v>
      </c>
      <c r="O1375" s="98">
        <v>46020</v>
      </c>
      <c r="P1375" s="98">
        <v>46020</v>
      </c>
      <c r="Q1375" s="99">
        <v>0</v>
      </c>
    </row>
    <row r="1376" spans="1:17">
      <c r="A1376" s="7">
        <v>2025</v>
      </c>
      <c r="B1376" s="8" t="s">
        <v>434</v>
      </c>
      <c r="C1376" s="94" t="s">
        <v>435</v>
      </c>
      <c r="D1376" s="95">
        <v>3215062</v>
      </c>
      <c r="E1376" s="95">
        <v>2</v>
      </c>
      <c r="F1376" s="95"/>
      <c r="G1376" s="95">
        <v>84100</v>
      </c>
      <c r="H1376" s="95" t="s">
        <v>210</v>
      </c>
      <c r="I1376" s="95" t="s">
        <v>438</v>
      </c>
      <c r="J1376" s="95" t="s">
        <v>161</v>
      </c>
      <c r="K1376" s="95" t="b">
        <v>0</v>
      </c>
      <c r="L1376" s="95">
        <v>0</v>
      </c>
      <c r="M1376" s="96">
        <v>2025</v>
      </c>
      <c r="N1376" s="97">
        <v>1806</v>
      </c>
      <c r="O1376" s="98">
        <v>46020</v>
      </c>
      <c r="P1376" s="98">
        <v>46020</v>
      </c>
      <c r="Q1376" s="99">
        <v>0</v>
      </c>
    </row>
    <row r="1377" spans="1:17">
      <c r="A1377" s="7">
        <v>2025</v>
      </c>
      <c r="B1377" s="8" t="s">
        <v>434</v>
      </c>
      <c r="C1377" s="94" t="s">
        <v>435</v>
      </c>
      <c r="D1377" s="95">
        <v>3215062</v>
      </c>
      <c r="E1377" s="95">
        <v>2</v>
      </c>
      <c r="F1377" s="95"/>
      <c r="G1377" s="95">
        <v>84100</v>
      </c>
      <c r="H1377" s="95" t="s">
        <v>210</v>
      </c>
      <c r="I1377" s="95" t="s">
        <v>438</v>
      </c>
      <c r="J1377" s="95" t="s">
        <v>161</v>
      </c>
      <c r="K1377" s="95" t="b">
        <v>0</v>
      </c>
      <c r="L1377" s="95">
        <v>5</v>
      </c>
      <c r="M1377" s="96">
        <v>2030</v>
      </c>
      <c r="N1377" s="97">
        <v>995</v>
      </c>
      <c r="O1377" s="98">
        <v>46020</v>
      </c>
      <c r="P1377" s="98">
        <v>46020</v>
      </c>
      <c r="Q1377" s="99">
        <v>0</v>
      </c>
    </row>
    <row r="1378" spans="1:17">
      <c r="A1378" s="7">
        <v>2025</v>
      </c>
      <c r="B1378" s="8" t="s">
        <v>434</v>
      </c>
      <c r="C1378" s="94" t="s">
        <v>435</v>
      </c>
      <c r="D1378" s="95">
        <v>3215062</v>
      </c>
      <c r="E1378" s="95">
        <v>2</v>
      </c>
      <c r="F1378" s="95"/>
      <c r="G1378" s="95">
        <v>87110</v>
      </c>
      <c r="H1378" s="95" t="s">
        <v>325</v>
      </c>
      <c r="I1378" s="95"/>
      <c r="J1378" s="95" t="s">
        <v>325</v>
      </c>
      <c r="K1378" s="95" t="b">
        <v>1</v>
      </c>
      <c r="L1378" s="95">
        <v>4</v>
      </c>
      <c r="M1378" s="96">
        <v>2029</v>
      </c>
      <c r="N1378" s="97">
        <v>0</v>
      </c>
      <c r="O1378" s="98">
        <v>46020</v>
      </c>
      <c r="P1378" s="98">
        <v>46020</v>
      </c>
      <c r="Q1378" s="99">
        <v>0</v>
      </c>
    </row>
    <row r="1379" spans="1:17">
      <c r="A1379" s="7">
        <v>2025</v>
      </c>
      <c r="B1379" s="8" t="s">
        <v>434</v>
      </c>
      <c r="C1379" s="94" t="s">
        <v>435</v>
      </c>
      <c r="D1379" s="95">
        <v>3215062</v>
      </c>
      <c r="E1379" s="95">
        <v>2</v>
      </c>
      <c r="F1379" s="95"/>
      <c r="G1379" s="95">
        <v>87110</v>
      </c>
      <c r="H1379" s="95" t="s">
        <v>325</v>
      </c>
      <c r="I1379" s="95"/>
      <c r="J1379" s="95" t="s">
        <v>325</v>
      </c>
      <c r="K1379" s="95" t="b">
        <v>1</v>
      </c>
      <c r="L1379" s="95">
        <v>1</v>
      </c>
      <c r="M1379" s="96">
        <v>2026</v>
      </c>
      <c r="N1379" s="97">
        <v>0</v>
      </c>
      <c r="O1379" s="98">
        <v>46020</v>
      </c>
      <c r="P1379" s="98">
        <v>46020</v>
      </c>
      <c r="Q1379" s="99">
        <v>0</v>
      </c>
    </row>
    <row r="1380" spans="1:17">
      <c r="A1380" s="7">
        <v>2025</v>
      </c>
      <c r="B1380" s="8" t="s">
        <v>434</v>
      </c>
      <c r="C1380" s="94" t="s">
        <v>435</v>
      </c>
      <c r="D1380" s="95">
        <v>3215062</v>
      </c>
      <c r="E1380" s="95">
        <v>2</v>
      </c>
      <c r="F1380" s="95"/>
      <c r="G1380" s="95">
        <v>87110</v>
      </c>
      <c r="H1380" s="95" t="s">
        <v>325</v>
      </c>
      <c r="I1380" s="95"/>
      <c r="J1380" s="95" t="s">
        <v>325</v>
      </c>
      <c r="K1380" s="95" t="b">
        <v>1</v>
      </c>
      <c r="L1380" s="95">
        <v>3</v>
      </c>
      <c r="M1380" s="96">
        <v>2028</v>
      </c>
      <c r="N1380" s="97">
        <v>0</v>
      </c>
      <c r="O1380" s="98">
        <v>46020</v>
      </c>
      <c r="P1380" s="98">
        <v>46020</v>
      </c>
      <c r="Q1380" s="99">
        <v>0</v>
      </c>
    </row>
    <row r="1381" spans="1:17">
      <c r="A1381" s="7">
        <v>2025</v>
      </c>
      <c r="B1381" s="8" t="s">
        <v>434</v>
      </c>
      <c r="C1381" s="94" t="s">
        <v>435</v>
      </c>
      <c r="D1381" s="95">
        <v>3215062</v>
      </c>
      <c r="E1381" s="95">
        <v>2</v>
      </c>
      <c r="F1381" s="95"/>
      <c r="G1381" s="95">
        <v>84100</v>
      </c>
      <c r="H1381" s="95" t="s">
        <v>210</v>
      </c>
      <c r="I1381" s="95" t="s">
        <v>438</v>
      </c>
      <c r="J1381" s="95" t="s">
        <v>161</v>
      </c>
      <c r="K1381" s="95" t="b">
        <v>0</v>
      </c>
      <c r="L1381" s="95">
        <v>13</v>
      </c>
      <c r="M1381" s="96">
        <v>2038</v>
      </c>
      <c r="N1381" s="97">
        <v>244</v>
      </c>
      <c r="O1381" s="98">
        <v>46020</v>
      </c>
      <c r="P1381" s="98">
        <v>46020</v>
      </c>
      <c r="Q1381" s="99">
        <v>0</v>
      </c>
    </row>
    <row r="1382" spans="1:17">
      <c r="A1382" s="7">
        <v>2025</v>
      </c>
      <c r="B1382" s="8" t="s">
        <v>434</v>
      </c>
      <c r="C1382" s="94" t="s">
        <v>435</v>
      </c>
      <c r="D1382" s="95">
        <v>3215062</v>
      </c>
      <c r="E1382" s="95">
        <v>2</v>
      </c>
      <c r="F1382" s="95"/>
      <c r="G1382" s="95">
        <v>84100</v>
      </c>
      <c r="H1382" s="95" t="s">
        <v>210</v>
      </c>
      <c r="I1382" s="95" t="s">
        <v>438</v>
      </c>
      <c r="J1382" s="95" t="s">
        <v>161</v>
      </c>
      <c r="K1382" s="95" t="b">
        <v>0</v>
      </c>
      <c r="L1382" s="95">
        <v>3</v>
      </c>
      <c r="M1382" s="96">
        <v>2028</v>
      </c>
      <c r="N1382" s="97">
        <v>1527</v>
      </c>
      <c r="O1382" s="98">
        <v>46020</v>
      </c>
      <c r="P1382" s="98">
        <v>46020</v>
      </c>
      <c r="Q1382" s="99">
        <v>0</v>
      </c>
    </row>
    <row r="1383" spans="1:17">
      <c r="A1383" s="7">
        <v>2025</v>
      </c>
      <c r="B1383" s="8" t="s">
        <v>434</v>
      </c>
      <c r="C1383" s="94" t="s">
        <v>435</v>
      </c>
      <c r="D1383" s="95">
        <v>3215062</v>
      </c>
      <c r="E1383" s="95">
        <v>2</v>
      </c>
      <c r="F1383" s="95"/>
      <c r="G1383" s="95">
        <v>84100</v>
      </c>
      <c r="H1383" s="95" t="s">
        <v>210</v>
      </c>
      <c r="I1383" s="95" t="s">
        <v>438</v>
      </c>
      <c r="J1383" s="95" t="s">
        <v>161</v>
      </c>
      <c r="K1383" s="95" t="b">
        <v>0</v>
      </c>
      <c r="L1383" s="95">
        <v>11</v>
      </c>
      <c r="M1383" s="96">
        <v>2036</v>
      </c>
      <c r="N1383" s="97">
        <v>237</v>
      </c>
      <c r="O1383" s="98">
        <v>46020</v>
      </c>
      <c r="P1383" s="98">
        <v>46020</v>
      </c>
      <c r="Q1383" s="99">
        <v>0</v>
      </c>
    </row>
    <row r="1384" spans="1:17">
      <c r="A1384" s="7">
        <v>2025</v>
      </c>
      <c r="B1384" s="8" t="s">
        <v>434</v>
      </c>
      <c r="C1384" s="94" t="s">
        <v>435</v>
      </c>
      <c r="D1384" s="95">
        <v>3215062</v>
      </c>
      <c r="E1384" s="95">
        <v>2</v>
      </c>
      <c r="F1384" s="95"/>
      <c r="G1384" s="95">
        <v>21330</v>
      </c>
      <c r="H1384" s="95" t="s">
        <v>320</v>
      </c>
      <c r="I1384" s="95"/>
      <c r="J1384" s="95" t="s">
        <v>469</v>
      </c>
      <c r="K1384" s="95" t="b">
        <v>0</v>
      </c>
      <c r="L1384" s="95">
        <v>11</v>
      </c>
      <c r="M1384" s="96">
        <v>2036</v>
      </c>
      <c r="N1384" s="97">
        <v>0</v>
      </c>
      <c r="O1384" s="98">
        <v>46020</v>
      </c>
      <c r="P1384" s="98">
        <v>46020</v>
      </c>
      <c r="Q1384" s="99">
        <v>0</v>
      </c>
    </row>
    <row r="1385" spans="1:17">
      <c r="A1385" s="7">
        <v>2025</v>
      </c>
      <c r="B1385" s="8" t="s">
        <v>434</v>
      </c>
      <c r="C1385" s="94" t="s">
        <v>435</v>
      </c>
      <c r="D1385" s="95">
        <v>3215062</v>
      </c>
      <c r="E1385" s="95">
        <v>2</v>
      </c>
      <c r="F1385" s="95"/>
      <c r="G1385" s="95">
        <v>21330</v>
      </c>
      <c r="H1385" s="95" t="s">
        <v>320</v>
      </c>
      <c r="I1385" s="95"/>
      <c r="J1385" s="95" t="s">
        <v>469</v>
      </c>
      <c r="K1385" s="95" t="b">
        <v>0</v>
      </c>
      <c r="L1385" s="95">
        <v>8</v>
      </c>
      <c r="M1385" s="96">
        <v>2033</v>
      </c>
      <c r="N1385" s="97">
        <v>0</v>
      </c>
      <c r="O1385" s="98">
        <v>46020</v>
      </c>
      <c r="P1385" s="98">
        <v>46020</v>
      </c>
      <c r="Q1385" s="99">
        <v>0</v>
      </c>
    </row>
    <row r="1386" spans="1:17">
      <c r="A1386" s="7">
        <v>2025</v>
      </c>
      <c r="B1386" s="8" t="s">
        <v>434</v>
      </c>
      <c r="C1386" s="94" t="s">
        <v>435</v>
      </c>
      <c r="D1386" s="95">
        <v>3215062</v>
      </c>
      <c r="E1386" s="95">
        <v>2</v>
      </c>
      <c r="F1386" s="95"/>
      <c r="G1386" s="95">
        <v>21330</v>
      </c>
      <c r="H1386" s="95" t="s">
        <v>320</v>
      </c>
      <c r="I1386" s="95"/>
      <c r="J1386" s="95" t="s">
        <v>469</v>
      </c>
      <c r="K1386" s="95" t="b">
        <v>0</v>
      </c>
      <c r="L1386" s="95">
        <v>7</v>
      </c>
      <c r="M1386" s="96">
        <v>2032</v>
      </c>
      <c r="N1386" s="97">
        <v>0</v>
      </c>
      <c r="O1386" s="98">
        <v>46020</v>
      </c>
      <c r="P1386" s="98">
        <v>46020</v>
      </c>
      <c r="Q1386" s="99">
        <v>0</v>
      </c>
    </row>
    <row r="1387" spans="1:17">
      <c r="A1387" s="7">
        <v>2025</v>
      </c>
      <c r="B1387" s="8" t="s">
        <v>434</v>
      </c>
      <c r="C1387" s="94" t="s">
        <v>435</v>
      </c>
      <c r="D1387" s="95">
        <v>3215062</v>
      </c>
      <c r="E1387" s="95">
        <v>2</v>
      </c>
      <c r="F1387" s="95"/>
      <c r="G1387" s="95">
        <v>21330</v>
      </c>
      <c r="H1387" s="95" t="s">
        <v>320</v>
      </c>
      <c r="I1387" s="95"/>
      <c r="J1387" s="95" t="s">
        <v>469</v>
      </c>
      <c r="K1387" s="95" t="b">
        <v>0</v>
      </c>
      <c r="L1387" s="95">
        <v>6</v>
      </c>
      <c r="M1387" s="96">
        <v>2031</v>
      </c>
      <c r="N1387" s="97">
        <v>0</v>
      </c>
      <c r="O1387" s="98">
        <v>46020</v>
      </c>
      <c r="P1387" s="98">
        <v>46020</v>
      </c>
      <c r="Q1387" s="99">
        <v>0</v>
      </c>
    </row>
    <row r="1388" spans="1:17">
      <c r="A1388" s="7">
        <v>2025</v>
      </c>
      <c r="B1388" s="8" t="s">
        <v>434</v>
      </c>
      <c r="C1388" s="94" t="s">
        <v>435</v>
      </c>
      <c r="D1388" s="95">
        <v>3215062</v>
      </c>
      <c r="E1388" s="95">
        <v>2</v>
      </c>
      <c r="F1388" s="95"/>
      <c r="G1388" s="95">
        <v>21330</v>
      </c>
      <c r="H1388" s="95" t="s">
        <v>320</v>
      </c>
      <c r="I1388" s="95"/>
      <c r="J1388" s="95" t="s">
        <v>469</v>
      </c>
      <c r="K1388" s="95" t="b">
        <v>0</v>
      </c>
      <c r="L1388" s="95">
        <v>13</v>
      </c>
      <c r="M1388" s="96">
        <v>2038</v>
      </c>
      <c r="N1388" s="97">
        <v>0</v>
      </c>
      <c r="O1388" s="98">
        <v>46020</v>
      </c>
      <c r="P1388" s="98">
        <v>46020</v>
      </c>
      <c r="Q1388" s="99">
        <v>0</v>
      </c>
    </row>
    <row r="1389" spans="1:17">
      <c r="A1389" s="7">
        <v>2025</v>
      </c>
      <c r="B1389" s="8" t="s">
        <v>434</v>
      </c>
      <c r="C1389" s="94" t="s">
        <v>435</v>
      </c>
      <c r="D1389" s="95">
        <v>3215062</v>
      </c>
      <c r="E1389" s="95">
        <v>2</v>
      </c>
      <c r="F1389" s="95"/>
      <c r="G1389" s="95">
        <v>21330</v>
      </c>
      <c r="H1389" s="95" t="s">
        <v>320</v>
      </c>
      <c r="I1389" s="95"/>
      <c r="J1389" s="95" t="s">
        <v>469</v>
      </c>
      <c r="K1389" s="95" t="b">
        <v>0</v>
      </c>
      <c r="L1389" s="95">
        <v>0</v>
      </c>
      <c r="M1389" s="96">
        <v>2025</v>
      </c>
      <c r="N1389" s="97">
        <v>0</v>
      </c>
      <c r="O1389" s="98">
        <v>46020</v>
      </c>
      <c r="P1389" s="98">
        <v>46020</v>
      </c>
      <c r="Q1389" s="99">
        <v>0</v>
      </c>
    </row>
    <row r="1390" spans="1:17">
      <c r="A1390" s="7">
        <v>2025</v>
      </c>
      <c r="B1390" s="8" t="s">
        <v>434</v>
      </c>
      <c r="C1390" s="94" t="s">
        <v>435</v>
      </c>
      <c r="D1390" s="95">
        <v>3215062</v>
      </c>
      <c r="E1390" s="95">
        <v>2</v>
      </c>
      <c r="F1390" s="95"/>
      <c r="G1390" s="95">
        <v>21330</v>
      </c>
      <c r="H1390" s="95" t="s">
        <v>320</v>
      </c>
      <c r="I1390" s="95"/>
      <c r="J1390" s="95" t="s">
        <v>469</v>
      </c>
      <c r="K1390" s="95" t="b">
        <v>0</v>
      </c>
      <c r="L1390" s="95">
        <v>2</v>
      </c>
      <c r="M1390" s="96">
        <v>2027</v>
      </c>
      <c r="N1390" s="97">
        <v>0</v>
      </c>
      <c r="O1390" s="98">
        <v>46020</v>
      </c>
      <c r="P1390" s="98">
        <v>46020</v>
      </c>
      <c r="Q1390" s="99">
        <v>0</v>
      </c>
    </row>
    <row r="1391" spans="1:17">
      <c r="A1391" s="7">
        <v>2025</v>
      </c>
      <c r="B1391" s="8" t="s">
        <v>434</v>
      </c>
      <c r="C1391" s="94" t="s">
        <v>435</v>
      </c>
      <c r="D1391" s="95">
        <v>3215062</v>
      </c>
      <c r="E1391" s="95">
        <v>2</v>
      </c>
      <c r="F1391" s="95"/>
      <c r="G1391" s="95">
        <v>21330</v>
      </c>
      <c r="H1391" s="95" t="s">
        <v>320</v>
      </c>
      <c r="I1391" s="95"/>
      <c r="J1391" s="95" t="s">
        <v>469</v>
      </c>
      <c r="K1391" s="95" t="b">
        <v>0</v>
      </c>
      <c r="L1391" s="95">
        <v>4</v>
      </c>
      <c r="M1391" s="96">
        <v>2029</v>
      </c>
      <c r="N1391" s="97">
        <v>0</v>
      </c>
      <c r="O1391" s="98">
        <v>46020</v>
      </c>
      <c r="P1391" s="98">
        <v>46020</v>
      </c>
      <c r="Q1391" s="99">
        <v>0</v>
      </c>
    </row>
    <row r="1392" spans="1:17">
      <c r="A1392" s="7">
        <v>2025</v>
      </c>
      <c r="B1392" s="8" t="s">
        <v>434</v>
      </c>
      <c r="C1392" s="94" t="s">
        <v>435</v>
      </c>
      <c r="D1392" s="95">
        <v>3215062</v>
      </c>
      <c r="E1392" s="95">
        <v>2</v>
      </c>
      <c r="F1392" s="95"/>
      <c r="G1392" s="95">
        <v>21330</v>
      </c>
      <c r="H1392" s="95" t="s">
        <v>320</v>
      </c>
      <c r="I1392" s="95"/>
      <c r="J1392" s="95" t="s">
        <v>469</v>
      </c>
      <c r="K1392" s="95" t="b">
        <v>0</v>
      </c>
      <c r="L1392" s="95">
        <v>10</v>
      </c>
      <c r="M1392" s="96">
        <v>2035</v>
      </c>
      <c r="N1392" s="97">
        <v>0</v>
      </c>
      <c r="O1392" s="98">
        <v>46020</v>
      </c>
      <c r="P1392" s="98">
        <v>46020</v>
      </c>
      <c r="Q1392" s="99">
        <v>0</v>
      </c>
    </row>
    <row r="1393" spans="1:17">
      <c r="A1393" s="7">
        <v>2025</v>
      </c>
      <c r="B1393" s="8" t="s">
        <v>434</v>
      </c>
      <c r="C1393" s="94" t="s">
        <v>435</v>
      </c>
      <c r="D1393" s="95">
        <v>3215062</v>
      </c>
      <c r="E1393" s="95">
        <v>2</v>
      </c>
      <c r="F1393" s="95"/>
      <c r="G1393" s="95">
        <v>21330</v>
      </c>
      <c r="H1393" s="95" t="s">
        <v>320</v>
      </c>
      <c r="I1393" s="95"/>
      <c r="J1393" s="95" t="s">
        <v>469</v>
      </c>
      <c r="K1393" s="95" t="b">
        <v>0</v>
      </c>
      <c r="L1393" s="95">
        <v>3</v>
      </c>
      <c r="M1393" s="96">
        <v>2028</v>
      </c>
      <c r="N1393" s="97">
        <v>0</v>
      </c>
      <c r="O1393" s="98">
        <v>46020</v>
      </c>
      <c r="P1393" s="98">
        <v>46020</v>
      </c>
      <c r="Q1393" s="99">
        <v>0</v>
      </c>
    </row>
    <row r="1394" spans="1:17">
      <c r="A1394" s="7">
        <v>2025</v>
      </c>
      <c r="B1394" s="8" t="s">
        <v>434</v>
      </c>
      <c r="C1394" s="94" t="s">
        <v>435</v>
      </c>
      <c r="D1394" s="95">
        <v>3215062</v>
      </c>
      <c r="E1394" s="95">
        <v>2</v>
      </c>
      <c r="F1394" s="95"/>
      <c r="G1394" s="95">
        <v>21330</v>
      </c>
      <c r="H1394" s="95" t="s">
        <v>320</v>
      </c>
      <c r="I1394" s="95"/>
      <c r="J1394" s="95" t="s">
        <v>469</v>
      </c>
      <c r="K1394" s="95" t="b">
        <v>0</v>
      </c>
      <c r="L1394" s="95">
        <v>5</v>
      </c>
      <c r="M1394" s="96">
        <v>2030</v>
      </c>
      <c r="N1394" s="97">
        <v>0</v>
      </c>
      <c r="O1394" s="98">
        <v>46020</v>
      </c>
      <c r="P1394" s="98">
        <v>46020</v>
      </c>
      <c r="Q1394" s="99">
        <v>0</v>
      </c>
    </row>
    <row r="1395" spans="1:17">
      <c r="A1395" s="7">
        <v>2025</v>
      </c>
      <c r="B1395" s="8" t="s">
        <v>434</v>
      </c>
      <c r="C1395" s="94" t="s">
        <v>435</v>
      </c>
      <c r="D1395" s="95">
        <v>3215062</v>
      </c>
      <c r="E1395" s="95">
        <v>2</v>
      </c>
      <c r="F1395" s="95"/>
      <c r="G1395" s="95">
        <v>21330</v>
      </c>
      <c r="H1395" s="95" t="s">
        <v>320</v>
      </c>
      <c r="I1395" s="95"/>
      <c r="J1395" s="95" t="s">
        <v>469</v>
      </c>
      <c r="K1395" s="95" t="b">
        <v>0</v>
      </c>
      <c r="L1395" s="95">
        <v>12</v>
      </c>
      <c r="M1395" s="96">
        <v>2037</v>
      </c>
      <c r="N1395" s="97">
        <v>0</v>
      </c>
      <c r="O1395" s="98">
        <v>46020</v>
      </c>
      <c r="P1395" s="98">
        <v>46020</v>
      </c>
      <c r="Q1395" s="99">
        <v>0</v>
      </c>
    </row>
    <row r="1396" spans="1:17">
      <c r="A1396" s="7">
        <v>2025</v>
      </c>
      <c r="B1396" s="8" t="s">
        <v>434</v>
      </c>
      <c r="C1396" s="94" t="s">
        <v>435</v>
      </c>
      <c r="D1396" s="95">
        <v>3215062</v>
      </c>
      <c r="E1396" s="95">
        <v>2</v>
      </c>
      <c r="F1396" s="95"/>
      <c r="G1396" s="95">
        <v>21330</v>
      </c>
      <c r="H1396" s="95" t="s">
        <v>320</v>
      </c>
      <c r="I1396" s="95"/>
      <c r="J1396" s="95" t="s">
        <v>469</v>
      </c>
      <c r="K1396" s="95" t="b">
        <v>0</v>
      </c>
      <c r="L1396" s="95">
        <v>9</v>
      </c>
      <c r="M1396" s="96">
        <v>2034</v>
      </c>
      <c r="N1396" s="97">
        <v>0</v>
      </c>
      <c r="O1396" s="98">
        <v>46020</v>
      </c>
      <c r="P1396" s="98">
        <v>46020</v>
      </c>
      <c r="Q1396" s="99">
        <v>0</v>
      </c>
    </row>
    <row r="1397" spans="1:17">
      <c r="A1397" s="7">
        <v>2025</v>
      </c>
      <c r="B1397" s="8" t="s">
        <v>434</v>
      </c>
      <c r="C1397" s="94" t="s">
        <v>435</v>
      </c>
      <c r="D1397" s="95">
        <v>3215062</v>
      </c>
      <c r="E1397" s="95">
        <v>2</v>
      </c>
      <c r="F1397" s="95"/>
      <c r="G1397" s="95">
        <v>21330</v>
      </c>
      <c r="H1397" s="95" t="s">
        <v>320</v>
      </c>
      <c r="I1397" s="95"/>
      <c r="J1397" s="95" t="s">
        <v>469</v>
      </c>
      <c r="K1397" s="95" t="b">
        <v>0</v>
      </c>
      <c r="L1397" s="95">
        <v>1</v>
      </c>
      <c r="M1397" s="96">
        <v>2026</v>
      </c>
      <c r="N1397" s="97">
        <v>0</v>
      </c>
      <c r="O1397" s="98">
        <v>46020</v>
      </c>
      <c r="P1397" s="98">
        <v>46020</v>
      </c>
      <c r="Q1397" s="99">
        <v>0</v>
      </c>
    </row>
    <row r="1398" spans="1:17">
      <c r="A1398" s="7">
        <v>2025</v>
      </c>
      <c r="B1398" s="8" t="s">
        <v>434</v>
      </c>
      <c r="C1398" s="94" t="s">
        <v>435</v>
      </c>
      <c r="D1398" s="95">
        <v>3215062</v>
      </c>
      <c r="E1398" s="95">
        <v>2</v>
      </c>
      <c r="F1398" s="95"/>
      <c r="G1398" s="95">
        <v>87110</v>
      </c>
      <c r="H1398" s="95" t="s">
        <v>325</v>
      </c>
      <c r="I1398" s="95"/>
      <c r="J1398" s="95" t="s">
        <v>325</v>
      </c>
      <c r="K1398" s="95" t="b">
        <v>1</v>
      </c>
      <c r="L1398" s="95">
        <v>6</v>
      </c>
      <c r="M1398" s="96">
        <v>2031</v>
      </c>
      <c r="N1398" s="97">
        <v>0</v>
      </c>
      <c r="O1398" s="98">
        <v>46020</v>
      </c>
      <c r="P1398" s="98">
        <v>46020</v>
      </c>
      <c r="Q1398" s="99">
        <v>0</v>
      </c>
    </row>
    <row r="1399" spans="1:17">
      <c r="A1399" s="7">
        <v>2025</v>
      </c>
      <c r="B1399" s="8" t="s">
        <v>434</v>
      </c>
      <c r="C1399" s="94" t="s">
        <v>435</v>
      </c>
      <c r="D1399" s="95">
        <v>3215062</v>
      </c>
      <c r="E1399" s="95">
        <v>2</v>
      </c>
      <c r="F1399" s="95"/>
      <c r="G1399" s="95">
        <v>87110</v>
      </c>
      <c r="H1399" s="95" t="s">
        <v>325</v>
      </c>
      <c r="I1399" s="95"/>
      <c r="J1399" s="95" t="s">
        <v>325</v>
      </c>
      <c r="K1399" s="95" t="b">
        <v>1</v>
      </c>
      <c r="L1399" s="95">
        <v>13</v>
      </c>
      <c r="M1399" s="96">
        <v>2038</v>
      </c>
      <c r="N1399" s="97">
        <v>0</v>
      </c>
      <c r="O1399" s="98">
        <v>46020</v>
      </c>
      <c r="P1399" s="98">
        <v>46020</v>
      </c>
      <c r="Q1399" s="99">
        <v>0</v>
      </c>
    </row>
    <row r="1400" spans="1:17">
      <c r="A1400" s="7">
        <v>2025</v>
      </c>
      <c r="B1400" s="8" t="s">
        <v>434</v>
      </c>
      <c r="C1400" s="94" t="s">
        <v>435</v>
      </c>
      <c r="D1400" s="95">
        <v>3215062</v>
      </c>
      <c r="E1400" s="95">
        <v>2</v>
      </c>
      <c r="F1400" s="95"/>
      <c r="G1400" s="95">
        <v>87110</v>
      </c>
      <c r="H1400" s="95" t="s">
        <v>325</v>
      </c>
      <c r="I1400" s="95"/>
      <c r="J1400" s="95" t="s">
        <v>325</v>
      </c>
      <c r="K1400" s="95" t="b">
        <v>1</v>
      </c>
      <c r="L1400" s="95">
        <v>0</v>
      </c>
      <c r="M1400" s="96">
        <v>2025</v>
      </c>
      <c r="N1400" s="97">
        <v>0</v>
      </c>
      <c r="O1400" s="98">
        <v>46020</v>
      </c>
      <c r="P1400" s="98">
        <v>46020</v>
      </c>
      <c r="Q1400" s="99">
        <v>0</v>
      </c>
    </row>
    <row r="1401" spans="1:17">
      <c r="A1401" s="7">
        <v>2025</v>
      </c>
      <c r="B1401" s="8" t="s">
        <v>434</v>
      </c>
      <c r="C1401" s="94" t="s">
        <v>435</v>
      </c>
      <c r="D1401" s="95">
        <v>3215062</v>
      </c>
      <c r="E1401" s="95">
        <v>2</v>
      </c>
      <c r="F1401" s="95"/>
      <c r="G1401" s="95">
        <v>87110</v>
      </c>
      <c r="H1401" s="95" t="s">
        <v>325</v>
      </c>
      <c r="I1401" s="95"/>
      <c r="J1401" s="95" t="s">
        <v>325</v>
      </c>
      <c r="K1401" s="95" t="b">
        <v>1</v>
      </c>
      <c r="L1401" s="95">
        <v>7</v>
      </c>
      <c r="M1401" s="96">
        <v>2032</v>
      </c>
      <c r="N1401" s="97">
        <v>0</v>
      </c>
      <c r="O1401" s="98">
        <v>46020</v>
      </c>
      <c r="P1401" s="98">
        <v>46020</v>
      </c>
      <c r="Q1401" s="99">
        <v>0</v>
      </c>
    </row>
    <row r="1402" spans="1:17">
      <c r="A1402" s="7">
        <v>2025</v>
      </c>
      <c r="B1402" s="8" t="s">
        <v>434</v>
      </c>
      <c r="C1402" s="94" t="s">
        <v>435</v>
      </c>
      <c r="D1402" s="95">
        <v>3215062</v>
      </c>
      <c r="E1402" s="95">
        <v>2</v>
      </c>
      <c r="F1402" s="95"/>
      <c r="G1402" s="95">
        <v>87110</v>
      </c>
      <c r="H1402" s="95" t="s">
        <v>325</v>
      </c>
      <c r="I1402" s="95"/>
      <c r="J1402" s="95" t="s">
        <v>325</v>
      </c>
      <c r="K1402" s="95" t="b">
        <v>1</v>
      </c>
      <c r="L1402" s="95">
        <v>12</v>
      </c>
      <c r="M1402" s="96">
        <v>2037</v>
      </c>
      <c r="N1402" s="97">
        <v>0</v>
      </c>
      <c r="O1402" s="98">
        <v>46020</v>
      </c>
      <c r="P1402" s="98">
        <v>46020</v>
      </c>
      <c r="Q1402" s="99">
        <v>0</v>
      </c>
    </row>
    <row r="1403" spans="1:17">
      <c r="A1403" s="7">
        <v>2025</v>
      </c>
      <c r="B1403" s="8" t="s">
        <v>434</v>
      </c>
      <c r="C1403" s="94" t="s">
        <v>435</v>
      </c>
      <c r="D1403" s="95">
        <v>3215062</v>
      </c>
      <c r="E1403" s="95">
        <v>2</v>
      </c>
      <c r="F1403" s="95"/>
      <c r="G1403" s="95">
        <v>87110</v>
      </c>
      <c r="H1403" s="95" t="s">
        <v>325</v>
      </c>
      <c r="I1403" s="95"/>
      <c r="J1403" s="95" t="s">
        <v>325</v>
      </c>
      <c r="K1403" s="95" t="b">
        <v>1</v>
      </c>
      <c r="L1403" s="95">
        <v>9</v>
      </c>
      <c r="M1403" s="96">
        <v>2034</v>
      </c>
      <c r="N1403" s="97">
        <v>0</v>
      </c>
      <c r="O1403" s="98">
        <v>46020</v>
      </c>
      <c r="P1403" s="98">
        <v>46020</v>
      </c>
      <c r="Q1403" s="99">
        <v>0</v>
      </c>
    </row>
    <row r="1404" spans="1:17">
      <c r="A1404" s="7">
        <v>2025</v>
      </c>
      <c r="B1404" s="8" t="s">
        <v>434</v>
      </c>
      <c r="C1404" s="94" t="s">
        <v>435</v>
      </c>
      <c r="D1404" s="95">
        <v>3215062</v>
      </c>
      <c r="E1404" s="95">
        <v>2</v>
      </c>
      <c r="F1404" s="95"/>
      <c r="G1404" s="95">
        <v>87110</v>
      </c>
      <c r="H1404" s="95" t="s">
        <v>325</v>
      </c>
      <c r="I1404" s="95"/>
      <c r="J1404" s="95" t="s">
        <v>325</v>
      </c>
      <c r="K1404" s="95" t="b">
        <v>1</v>
      </c>
      <c r="L1404" s="95">
        <v>2</v>
      </c>
      <c r="M1404" s="96">
        <v>2027</v>
      </c>
      <c r="N1404" s="97">
        <v>0</v>
      </c>
      <c r="O1404" s="98">
        <v>46020</v>
      </c>
      <c r="P1404" s="98">
        <v>46020</v>
      </c>
      <c r="Q1404" s="99">
        <v>0</v>
      </c>
    </row>
    <row r="1405" spans="1:17">
      <c r="A1405" s="7">
        <v>2025</v>
      </c>
      <c r="B1405" s="8" t="s">
        <v>434</v>
      </c>
      <c r="C1405" s="94" t="s">
        <v>435</v>
      </c>
      <c r="D1405" s="95">
        <v>3215062</v>
      </c>
      <c r="E1405" s="95">
        <v>2</v>
      </c>
      <c r="F1405" s="95"/>
      <c r="G1405" s="95">
        <v>87110</v>
      </c>
      <c r="H1405" s="95" t="s">
        <v>325</v>
      </c>
      <c r="I1405" s="95"/>
      <c r="J1405" s="95" t="s">
        <v>325</v>
      </c>
      <c r="K1405" s="95" t="b">
        <v>1</v>
      </c>
      <c r="L1405" s="95">
        <v>5</v>
      </c>
      <c r="M1405" s="96">
        <v>2030</v>
      </c>
      <c r="N1405" s="97">
        <v>0</v>
      </c>
      <c r="O1405" s="98">
        <v>46020</v>
      </c>
      <c r="P1405" s="98">
        <v>46020</v>
      </c>
      <c r="Q1405" s="99">
        <v>0</v>
      </c>
    </row>
    <row r="1406" spans="1:17">
      <c r="A1406" s="7">
        <v>2025</v>
      </c>
      <c r="B1406" s="8" t="s">
        <v>434</v>
      </c>
      <c r="C1406" s="94" t="s">
        <v>435</v>
      </c>
      <c r="D1406" s="95">
        <v>3215062</v>
      </c>
      <c r="E1406" s="95">
        <v>2</v>
      </c>
      <c r="F1406" s="95"/>
      <c r="G1406" s="95">
        <v>87110</v>
      </c>
      <c r="H1406" s="95" t="s">
        <v>325</v>
      </c>
      <c r="I1406" s="95"/>
      <c r="J1406" s="95" t="s">
        <v>325</v>
      </c>
      <c r="K1406" s="95" t="b">
        <v>1</v>
      </c>
      <c r="L1406" s="95">
        <v>8</v>
      </c>
      <c r="M1406" s="96">
        <v>2033</v>
      </c>
      <c r="N1406" s="97">
        <v>0</v>
      </c>
      <c r="O1406" s="98">
        <v>46020</v>
      </c>
      <c r="P1406" s="98">
        <v>46020</v>
      </c>
      <c r="Q1406" s="99">
        <v>0</v>
      </c>
    </row>
    <row r="1407" spans="1:17">
      <c r="A1407" s="7">
        <v>2025</v>
      </c>
      <c r="B1407" s="8" t="s">
        <v>434</v>
      </c>
      <c r="C1407" s="94" t="s">
        <v>435</v>
      </c>
      <c r="D1407" s="95">
        <v>3215062</v>
      </c>
      <c r="E1407" s="95">
        <v>2</v>
      </c>
      <c r="F1407" s="95"/>
      <c r="G1407" s="95">
        <v>106000</v>
      </c>
      <c r="H1407" s="95">
        <v>10.6</v>
      </c>
      <c r="I1407" s="95"/>
      <c r="J1407" s="95" t="s">
        <v>470</v>
      </c>
      <c r="K1407" s="95" t="b">
        <v>1</v>
      </c>
      <c r="L1407" s="95">
        <v>8</v>
      </c>
      <c r="M1407" s="96">
        <v>2033</v>
      </c>
      <c r="N1407" s="97">
        <v>191817.60000000001</v>
      </c>
      <c r="O1407" s="98">
        <v>46020</v>
      </c>
      <c r="P1407" s="98">
        <v>46020</v>
      </c>
      <c r="Q1407" s="99">
        <v>0</v>
      </c>
    </row>
    <row r="1408" spans="1:17">
      <c r="A1408" s="7">
        <v>2025</v>
      </c>
      <c r="B1408" s="8" t="s">
        <v>434</v>
      </c>
      <c r="C1408" s="94" t="s">
        <v>435</v>
      </c>
      <c r="D1408" s="95">
        <v>3215062</v>
      </c>
      <c r="E1408" s="95">
        <v>2</v>
      </c>
      <c r="F1408" s="95"/>
      <c r="G1408" s="95">
        <v>106000</v>
      </c>
      <c r="H1408" s="95">
        <v>10.6</v>
      </c>
      <c r="I1408" s="95"/>
      <c r="J1408" s="95" t="s">
        <v>470</v>
      </c>
      <c r="K1408" s="95" t="b">
        <v>1</v>
      </c>
      <c r="L1408" s="95">
        <v>4</v>
      </c>
      <c r="M1408" s="96">
        <v>2029</v>
      </c>
      <c r="N1408" s="97">
        <v>541436.11</v>
      </c>
      <c r="O1408" s="98">
        <v>46020</v>
      </c>
      <c r="P1408" s="98">
        <v>46020</v>
      </c>
      <c r="Q1408" s="99">
        <v>0</v>
      </c>
    </row>
    <row r="1409" spans="1:17">
      <c r="A1409" s="7">
        <v>2025</v>
      </c>
      <c r="B1409" s="8" t="s">
        <v>434</v>
      </c>
      <c r="C1409" s="94" t="s">
        <v>435</v>
      </c>
      <c r="D1409" s="95">
        <v>3215062</v>
      </c>
      <c r="E1409" s="95">
        <v>2</v>
      </c>
      <c r="F1409" s="95"/>
      <c r="G1409" s="95">
        <v>106000</v>
      </c>
      <c r="H1409" s="95">
        <v>10.6</v>
      </c>
      <c r="I1409" s="95"/>
      <c r="J1409" s="95" t="s">
        <v>470</v>
      </c>
      <c r="K1409" s="95" t="b">
        <v>1</v>
      </c>
      <c r="L1409" s="95">
        <v>0</v>
      </c>
      <c r="M1409" s="96">
        <v>2025</v>
      </c>
      <c r="N1409" s="97">
        <v>685984</v>
      </c>
      <c r="O1409" s="98">
        <v>46020</v>
      </c>
      <c r="P1409" s="98">
        <v>46020</v>
      </c>
      <c r="Q1409" s="99">
        <v>0</v>
      </c>
    </row>
    <row r="1410" spans="1:17">
      <c r="A1410" s="7">
        <v>2025</v>
      </c>
      <c r="B1410" s="8" t="s">
        <v>434</v>
      </c>
      <c r="C1410" s="94" t="s">
        <v>435</v>
      </c>
      <c r="D1410" s="95">
        <v>3215062</v>
      </c>
      <c r="E1410" s="95">
        <v>2</v>
      </c>
      <c r="F1410" s="95"/>
      <c r="G1410" s="95">
        <v>106000</v>
      </c>
      <c r="H1410" s="95">
        <v>10.6</v>
      </c>
      <c r="I1410" s="95"/>
      <c r="J1410" s="95" t="s">
        <v>470</v>
      </c>
      <c r="K1410" s="95" t="b">
        <v>1</v>
      </c>
      <c r="L1410" s="95">
        <v>3</v>
      </c>
      <c r="M1410" s="96">
        <v>2028</v>
      </c>
      <c r="N1410" s="97">
        <v>632593.19999999995</v>
      </c>
      <c r="O1410" s="98">
        <v>46020</v>
      </c>
      <c r="P1410" s="98">
        <v>46020</v>
      </c>
      <c r="Q1410" s="99">
        <v>0</v>
      </c>
    </row>
    <row r="1411" spans="1:17">
      <c r="A1411" s="7">
        <v>2025</v>
      </c>
      <c r="B1411" s="8" t="s">
        <v>434</v>
      </c>
      <c r="C1411" s="94" t="s">
        <v>435</v>
      </c>
      <c r="D1411" s="95">
        <v>3215062</v>
      </c>
      <c r="E1411" s="95">
        <v>2</v>
      </c>
      <c r="F1411" s="95"/>
      <c r="G1411" s="95">
        <v>106000</v>
      </c>
      <c r="H1411" s="95">
        <v>10.6</v>
      </c>
      <c r="I1411" s="95"/>
      <c r="J1411" s="95" t="s">
        <v>470</v>
      </c>
      <c r="K1411" s="95" t="b">
        <v>1</v>
      </c>
      <c r="L1411" s="95">
        <v>5</v>
      </c>
      <c r="M1411" s="96">
        <v>2030</v>
      </c>
      <c r="N1411" s="97">
        <v>191817.60000000001</v>
      </c>
      <c r="O1411" s="98">
        <v>46020</v>
      </c>
      <c r="P1411" s="98">
        <v>46020</v>
      </c>
      <c r="Q1411" s="99">
        <v>0</v>
      </c>
    </row>
    <row r="1412" spans="1:17">
      <c r="A1412" s="7">
        <v>2025</v>
      </c>
      <c r="B1412" s="8" t="s">
        <v>434</v>
      </c>
      <c r="C1412" s="94" t="s">
        <v>435</v>
      </c>
      <c r="D1412" s="95">
        <v>3215062</v>
      </c>
      <c r="E1412" s="95">
        <v>2</v>
      </c>
      <c r="F1412" s="95"/>
      <c r="G1412" s="95">
        <v>106000</v>
      </c>
      <c r="H1412" s="95">
        <v>10.6</v>
      </c>
      <c r="I1412" s="95"/>
      <c r="J1412" s="95" t="s">
        <v>470</v>
      </c>
      <c r="K1412" s="95" t="b">
        <v>1</v>
      </c>
      <c r="L1412" s="95">
        <v>7</v>
      </c>
      <c r="M1412" s="96">
        <v>2032</v>
      </c>
      <c r="N1412" s="97">
        <v>191817.60000000001</v>
      </c>
      <c r="O1412" s="98">
        <v>46020</v>
      </c>
      <c r="P1412" s="98">
        <v>46020</v>
      </c>
      <c r="Q1412" s="99">
        <v>0</v>
      </c>
    </row>
    <row r="1413" spans="1:17">
      <c r="A1413" s="7">
        <v>2025</v>
      </c>
      <c r="B1413" s="8" t="s">
        <v>434</v>
      </c>
      <c r="C1413" s="94" t="s">
        <v>435</v>
      </c>
      <c r="D1413" s="95">
        <v>3215062</v>
      </c>
      <c r="E1413" s="95">
        <v>2</v>
      </c>
      <c r="F1413" s="95"/>
      <c r="G1413" s="95">
        <v>106000</v>
      </c>
      <c r="H1413" s="95">
        <v>10.6</v>
      </c>
      <c r="I1413" s="95"/>
      <c r="J1413" s="95" t="s">
        <v>470</v>
      </c>
      <c r="K1413" s="95" t="b">
        <v>1</v>
      </c>
      <c r="L1413" s="95">
        <v>11</v>
      </c>
      <c r="M1413" s="96">
        <v>2036</v>
      </c>
      <c r="N1413" s="97">
        <v>74266</v>
      </c>
      <c r="O1413" s="98">
        <v>46020</v>
      </c>
      <c r="P1413" s="98">
        <v>46020</v>
      </c>
      <c r="Q1413" s="99">
        <v>0</v>
      </c>
    </row>
    <row r="1414" spans="1:17">
      <c r="A1414" s="7">
        <v>2025</v>
      </c>
      <c r="B1414" s="8" t="s">
        <v>434</v>
      </c>
      <c r="C1414" s="94" t="s">
        <v>435</v>
      </c>
      <c r="D1414" s="95">
        <v>3215062</v>
      </c>
      <c r="E1414" s="95">
        <v>2</v>
      </c>
      <c r="F1414" s="95"/>
      <c r="G1414" s="95">
        <v>106000</v>
      </c>
      <c r="H1414" s="95">
        <v>10.6</v>
      </c>
      <c r="I1414" s="95"/>
      <c r="J1414" s="95" t="s">
        <v>470</v>
      </c>
      <c r="K1414" s="95" t="b">
        <v>1</v>
      </c>
      <c r="L1414" s="95">
        <v>6</v>
      </c>
      <c r="M1414" s="96">
        <v>2031</v>
      </c>
      <c r="N1414" s="97">
        <v>191817.60000000001</v>
      </c>
      <c r="O1414" s="98">
        <v>46020</v>
      </c>
      <c r="P1414" s="98">
        <v>46020</v>
      </c>
      <c r="Q1414" s="99">
        <v>0</v>
      </c>
    </row>
    <row r="1415" spans="1:17">
      <c r="A1415" s="7">
        <v>2025</v>
      </c>
      <c r="B1415" s="8" t="s">
        <v>434</v>
      </c>
      <c r="C1415" s="94" t="s">
        <v>435</v>
      </c>
      <c r="D1415" s="95">
        <v>3215062</v>
      </c>
      <c r="E1415" s="95">
        <v>2</v>
      </c>
      <c r="F1415" s="95"/>
      <c r="G1415" s="95">
        <v>106000</v>
      </c>
      <c r="H1415" s="95">
        <v>10.6</v>
      </c>
      <c r="I1415" s="95"/>
      <c r="J1415" s="95" t="s">
        <v>470</v>
      </c>
      <c r="K1415" s="95" t="b">
        <v>1</v>
      </c>
      <c r="L1415" s="95">
        <v>12</v>
      </c>
      <c r="M1415" s="96">
        <v>2037</v>
      </c>
      <c r="N1415" s="97">
        <v>74266</v>
      </c>
      <c r="O1415" s="98">
        <v>46020</v>
      </c>
      <c r="P1415" s="98">
        <v>46020</v>
      </c>
      <c r="Q1415" s="99">
        <v>0</v>
      </c>
    </row>
    <row r="1416" spans="1:17">
      <c r="A1416" s="7">
        <v>2025</v>
      </c>
      <c r="B1416" s="8" t="s">
        <v>434</v>
      </c>
      <c r="C1416" s="94" t="s">
        <v>435</v>
      </c>
      <c r="D1416" s="95">
        <v>3215062</v>
      </c>
      <c r="E1416" s="95">
        <v>2</v>
      </c>
      <c r="F1416" s="95"/>
      <c r="G1416" s="95">
        <v>106000</v>
      </c>
      <c r="H1416" s="95">
        <v>10.6</v>
      </c>
      <c r="I1416" s="95"/>
      <c r="J1416" s="95" t="s">
        <v>470</v>
      </c>
      <c r="K1416" s="95" t="b">
        <v>1</v>
      </c>
      <c r="L1416" s="95">
        <v>10</v>
      </c>
      <c r="M1416" s="96">
        <v>2035</v>
      </c>
      <c r="N1416" s="97">
        <v>191817.60000000001</v>
      </c>
      <c r="O1416" s="98">
        <v>46020</v>
      </c>
      <c r="P1416" s="98">
        <v>46020</v>
      </c>
      <c r="Q1416" s="99">
        <v>0</v>
      </c>
    </row>
    <row r="1417" spans="1:17">
      <c r="A1417" s="7">
        <v>2025</v>
      </c>
      <c r="B1417" s="8" t="s">
        <v>434</v>
      </c>
      <c r="C1417" s="94" t="s">
        <v>435</v>
      </c>
      <c r="D1417" s="95">
        <v>3215062</v>
      </c>
      <c r="E1417" s="95">
        <v>2</v>
      </c>
      <c r="F1417" s="95"/>
      <c r="G1417" s="95">
        <v>106000</v>
      </c>
      <c r="H1417" s="95">
        <v>10.6</v>
      </c>
      <c r="I1417" s="95"/>
      <c r="J1417" s="95" t="s">
        <v>470</v>
      </c>
      <c r="K1417" s="95" t="b">
        <v>1</v>
      </c>
      <c r="L1417" s="95">
        <v>2</v>
      </c>
      <c r="M1417" s="96">
        <v>2027</v>
      </c>
      <c r="N1417" s="97">
        <v>803540.94</v>
      </c>
      <c r="O1417" s="98">
        <v>46020</v>
      </c>
      <c r="P1417" s="98">
        <v>46020</v>
      </c>
      <c r="Q1417" s="99">
        <v>0</v>
      </c>
    </row>
    <row r="1418" spans="1:17">
      <c r="A1418" s="7">
        <v>2025</v>
      </c>
      <c r="B1418" s="8" t="s">
        <v>434</v>
      </c>
      <c r="C1418" s="94" t="s">
        <v>435</v>
      </c>
      <c r="D1418" s="95">
        <v>3215062</v>
      </c>
      <c r="E1418" s="95">
        <v>2</v>
      </c>
      <c r="F1418" s="95"/>
      <c r="G1418" s="95">
        <v>106000</v>
      </c>
      <c r="H1418" s="95">
        <v>10.6</v>
      </c>
      <c r="I1418" s="95"/>
      <c r="J1418" s="95" t="s">
        <v>470</v>
      </c>
      <c r="K1418" s="95" t="b">
        <v>1</v>
      </c>
      <c r="L1418" s="95">
        <v>13</v>
      </c>
      <c r="M1418" s="96">
        <v>2038</v>
      </c>
      <c r="N1418" s="97">
        <v>74266</v>
      </c>
      <c r="O1418" s="98">
        <v>46020</v>
      </c>
      <c r="P1418" s="98">
        <v>46020</v>
      </c>
      <c r="Q1418" s="99">
        <v>0</v>
      </c>
    </row>
    <row r="1419" spans="1:17">
      <c r="A1419" s="7">
        <v>2025</v>
      </c>
      <c r="B1419" s="8" t="s">
        <v>434</v>
      </c>
      <c r="C1419" s="94" t="s">
        <v>435</v>
      </c>
      <c r="D1419" s="95">
        <v>3215062</v>
      </c>
      <c r="E1419" s="95">
        <v>2</v>
      </c>
      <c r="F1419" s="95"/>
      <c r="G1419" s="95">
        <v>106000</v>
      </c>
      <c r="H1419" s="95">
        <v>10.6</v>
      </c>
      <c r="I1419" s="95"/>
      <c r="J1419" s="95" t="s">
        <v>470</v>
      </c>
      <c r="K1419" s="95" t="b">
        <v>1</v>
      </c>
      <c r="L1419" s="95">
        <v>1</v>
      </c>
      <c r="M1419" s="96">
        <v>2026</v>
      </c>
      <c r="N1419" s="97">
        <v>803535.6</v>
      </c>
      <c r="O1419" s="98">
        <v>46020</v>
      </c>
      <c r="P1419" s="98">
        <v>46020</v>
      </c>
      <c r="Q1419" s="99">
        <v>0</v>
      </c>
    </row>
    <row r="1420" spans="1:17">
      <c r="A1420" s="7">
        <v>2025</v>
      </c>
      <c r="B1420" s="8" t="s">
        <v>434</v>
      </c>
      <c r="C1420" s="94" t="s">
        <v>435</v>
      </c>
      <c r="D1420" s="95">
        <v>3215062</v>
      </c>
      <c r="E1420" s="95">
        <v>2</v>
      </c>
      <c r="F1420" s="95"/>
      <c r="G1420" s="95">
        <v>106000</v>
      </c>
      <c r="H1420" s="95">
        <v>10.6</v>
      </c>
      <c r="I1420" s="95"/>
      <c r="J1420" s="95" t="s">
        <v>470</v>
      </c>
      <c r="K1420" s="95" t="b">
        <v>1</v>
      </c>
      <c r="L1420" s="95">
        <v>9</v>
      </c>
      <c r="M1420" s="96">
        <v>2034</v>
      </c>
      <c r="N1420" s="97">
        <v>191817.60000000001</v>
      </c>
      <c r="O1420" s="98">
        <v>46020</v>
      </c>
      <c r="P1420" s="98">
        <v>46020</v>
      </c>
      <c r="Q1420" s="99">
        <v>0</v>
      </c>
    </row>
    <row r="1421" spans="1:17">
      <c r="A1421" s="7">
        <v>2025</v>
      </c>
      <c r="B1421" s="8" t="s">
        <v>434</v>
      </c>
      <c r="C1421" s="94" t="s">
        <v>435</v>
      </c>
      <c r="D1421" s="95">
        <v>3215062</v>
      </c>
      <c r="E1421" s="95">
        <v>2</v>
      </c>
      <c r="F1421" s="95"/>
      <c r="G1421" s="95">
        <v>107000</v>
      </c>
      <c r="H1421" s="95">
        <v>10.7</v>
      </c>
      <c r="I1421" s="95"/>
      <c r="J1421" s="95" t="s">
        <v>181</v>
      </c>
      <c r="K1421" s="95" t="b">
        <v>1</v>
      </c>
      <c r="L1421" s="95">
        <v>12</v>
      </c>
      <c r="M1421" s="96">
        <v>2037</v>
      </c>
      <c r="N1421" s="97">
        <v>0</v>
      </c>
      <c r="O1421" s="98">
        <v>46020</v>
      </c>
      <c r="P1421" s="98">
        <v>46020</v>
      </c>
      <c r="Q1421" s="99">
        <v>0</v>
      </c>
    </row>
    <row r="1422" spans="1:17">
      <c r="A1422" s="7">
        <v>2025</v>
      </c>
      <c r="B1422" s="8" t="s">
        <v>434</v>
      </c>
      <c r="C1422" s="94" t="s">
        <v>435</v>
      </c>
      <c r="D1422" s="95">
        <v>3215062</v>
      </c>
      <c r="E1422" s="95">
        <v>2</v>
      </c>
      <c r="F1422" s="95"/>
      <c r="G1422" s="95">
        <v>107000</v>
      </c>
      <c r="H1422" s="95">
        <v>10.7</v>
      </c>
      <c r="I1422" s="95"/>
      <c r="J1422" s="95" t="s">
        <v>181</v>
      </c>
      <c r="K1422" s="95" t="b">
        <v>1</v>
      </c>
      <c r="L1422" s="95">
        <v>3</v>
      </c>
      <c r="M1422" s="96">
        <v>2028</v>
      </c>
      <c r="N1422" s="97">
        <v>0</v>
      </c>
      <c r="O1422" s="98">
        <v>46020</v>
      </c>
      <c r="P1422" s="98">
        <v>46020</v>
      </c>
      <c r="Q1422" s="99">
        <v>0</v>
      </c>
    </row>
    <row r="1423" spans="1:17">
      <c r="A1423" s="7">
        <v>2025</v>
      </c>
      <c r="B1423" s="8" t="s">
        <v>434</v>
      </c>
      <c r="C1423" s="94" t="s">
        <v>435</v>
      </c>
      <c r="D1423" s="95">
        <v>3215062</v>
      </c>
      <c r="E1423" s="95">
        <v>2</v>
      </c>
      <c r="F1423" s="95"/>
      <c r="G1423" s="95">
        <v>107000</v>
      </c>
      <c r="H1423" s="95">
        <v>10.7</v>
      </c>
      <c r="I1423" s="95"/>
      <c r="J1423" s="95" t="s">
        <v>181</v>
      </c>
      <c r="K1423" s="95" t="b">
        <v>1</v>
      </c>
      <c r="L1423" s="95">
        <v>7</v>
      </c>
      <c r="M1423" s="96">
        <v>2032</v>
      </c>
      <c r="N1423" s="97">
        <v>0</v>
      </c>
      <c r="O1423" s="98">
        <v>46020</v>
      </c>
      <c r="P1423" s="98">
        <v>46020</v>
      </c>
      <c r="Q1423" s="99">
        <v>0</v>
      </c>
    </row>
    <row r="1424" spans="1:17">
      <c r="A1424" s="7">
        <v>2025</v>
      </c>
      <c r="B1424" s="8" t="s">
        <v>434</v>
      </c>
      <c r="C1424" s="94" t="s">
        <v>435</v>
      </c>
      <c r="D1424" s="95">
        <v>3215062</v>
      </c>
      <c r="E1424" s="95">
        <v>2</v>
      </c>
      <c r="F1424" s="95"/>
      <c r="G1424" s="95">
        <v>107000</v>
      </c>
      <c r="H1424" s="95">
        <v>10.7</v>
      </c>
      <c r="I1424" s="95"/>
      <c r="J1424" s="95" t="s">
        <v>181</v>
      </c>
      <c r="K1424" s="95" t="b">
        <v>1</v>
      </c>
      <c r="L1424" s="95">
        <v>11</v>
      </c>
      <c r="M1424" s="96">
        <v>2036</v>
      </c>
      <c r="N1424" s="97">
        <v>0</v>
      </c>
      <c r="O1424" s="98">
        <v>46020</v>
      </c>
      <c r="P1424" s="98">
        <v>46020</v>
      </c>
      <c r="Q1424" s="99">
        <v>0</v>
      </c>
    </row>
    <row r="1425" spans="1:17">
      <c r="A1425" s="7">
        <v>2025</v>
      </c>
      <c r="B1425" s="8" t="s">
        <v>434</v>
      </c>
      <c r="C1425" s="94" t="s">
        <v>435</v>
      </c>
      <c r="D1425" s="95">
        <v>3215062</v>
      </c>
      <c r="E1425" s="95">
        <v>2</v>
      </c>
      <c r="F1425" s="95"/>
      <c r="G1425" s="95">
        <v>107000</v>
      </c>
      <c r="H1425" s="95">
        <v>10.7</v>
      </c>
      <c r="I1425" s="95"/>
      <c r="J1425" s="95" t="s">
        <v>181</v>
      </c>
      <c r="K1425" s="95" t="b">
        <v>1</v>
      </c>
      <c r="L1425" s="95">
        <v>4</v>
      </c>
      <c r="M1425" s="96">
        <v>2029</v>
      </c>
      <c r="N1425" s="97">
        <v>0</v>
      </c>
      <c r="O1425" s="98">
        <v>46020</v>
      </c>
      <c r="P1425" s="98">
        <v>46020</v>
      </c>
      <c r="Q1425" s="99">
        <v>0</v>
      </c>
    </row>
    <row r="1426" spans="1:17">
      <c r="A1426" s="7">
        <v>2025</v>
      </c>
      <c r="B1426" s="8" t="s">
        <v>434</v>
      </c>
      <c r="C1426" s="94" t="s">
        <v>435</v>
      </c>
      <c r="D1426" s="95">
        <v>3215062</v>
      </c>
      <c r="E1426" s="95">
        <v>2</v>
      </c>
      <c r="F1426" s="95"/>
      <c r="G1426" s="95">
        <v>107000</v>
      </c>
      <c r="H1426" s="95">
        <v>10.7</v>
      </c>
      <c r="I1426" s="95"/>
      <c r="J1426" s="95" t="s">
        <v>181</v>
      </c>
      <c r="K1426" s="95" t="b">
        <v>1</v>
      </c>
      <c r="L1426" s="95">
        <v>13</v>
      </c>
      <c r="M1426" s="96">
        <v>2038</v>
      </c>
      <c r="N1426" s="97">
        <v>0</v>
      </c>
      <c r="O1426" s="98">
        <v>46020</v>
      </c>
      <c r="P1426" s="98">
        <v>46020</v>
      </c>
      <c r="Q1426" s="99">
        <v>0</v>
      </c>
    </row>
    <row r="1427" spans="1:17">
      <c r="A1427" s="7">
        <v>2025</v>
      </c>
      <c r="B1427" s="8" t="s">
        <v>434</v>
      </c>
      <c r="C1427" s="94" t="s">
        <v>435</v>
      </c>
      <c r="D1427" s="95">
        <v>3215062</v>
      </c>
      <c r="E1427" s="95">
        <v>2</v>
      </c>
      <c r="F1427" s="95"/>
      <c r="G1427" s="95">
        <v>107000</v>
      </c>
      <c r="H1427" s="95">
        <v>10.7</v>
      </c>
      <c r="I1427" s="95"/>
      <c r="J1427" s="95" t="s">
        <v>181</v>
      </c>
      <c r="K1427" s="95" t="b">
        <v>1</v>
      </c>
      <c r="L1427" s="95">
        <v>6</v>
      </c>
      <c r="M1427" s="96">
        <v>2031</v>
      </c>
      <c r="N1427" s="97">
        <v>0</v>
      </c>
      <c r="O1427" s="98">
        <v>46020</v>
      </c>
      <c r="P1427" s="98">
        <v>46020</v>
      </c>
      <c r="Q1427" s="99">
        <v>0</v>
      </c>
    </row>
    <row r="1428" spans="1:17">
      <c r="A1428" s="7">
        <v>2025</v>
      </c>
      <c r="B1428" s="8" t="s">
        <v>434</v>
      </c>
      <c r="C1428" s="94" t="s">
        <v>435</v>
      </c>
      <c r="D1428" s="95">
        <v>3215062</v>
      </c>
      <c r="E1428" s="95">
        <v>2</v>
      </c>
      <c r="F1428" s="95"/>
      <c r="G1428" s="95">
        <v>107000</v>
      </c>
      <c r="H1428" s="95">
        <v>10.7</v>
      </c>
      <c r="I1428" s="95"/>
      <c r="J1428" s="95" t="s">
        <v>181</v>
      </c>
      <c r="K1428" s="95" t="b">
        <v>1</v>
      </c>
      <c r="L1428" s="95">
        <v>2</v>
      </c>
      <c r="M1428" s="96">
        <v>2027</v>
      </c>
      <c r="N1428" s="97">
        <v>0</v>
      </c>
      <c r="O1428" s="98">
        <v>46020</v>
      </c>
      <c r="P1428" s="98">
        <v>46020</v>
      </c>
      <c r="Q1428" s="99">
        <v>0</v>
      </c>
    </row>
    <row r="1429" spans="1:17">
      <c r="A1429" s="7">
        <v>2025</v>
      </c>
      <c r="B1429" s="8" t="s">
        <v>434</v>
      </c>
      <c r="C1429" s="94" t="s">
        <v>435</v>
      </c>
      <c r="D1429" s="95">
        <v>3215062</v>
      </c>
      <c r="E1429" s="95">
        <v>2</v>
      </c>
      <c r="F1429" s="95"/>
      <c r="G1429" s="95">
        <v>107000</v>
      </c>
      <c r="H1429" s="95">
        <v>10.7</v>
      </c>
      <c r="I1429" s="95"/>
      <c r="J1429" s="95" t="s">
        <v>181</v>
      </c>
      <c r="K1429" s="95" t="b">
        <v>1</v>
      </c>
      <c r="L1429" s="95">
        <v>5</v>
      </c>
      <c r="M1429" s="96">
        <v>2030</v>
      </c>
      <c r="N1429" s="97">
        <v>0</v>
      </c>
      <c r="O1429" s="98">
        <v>46020</v>
      </c>
      <c r="P1429" s="98">
        <v>46020</v>
      </c>
      <c r="Q1429" s="99">
        <v>0</v>
      </c>
    </row>
    <row r="1430" spans="1:17">
      <c r="A1430" s="7">
        <v>2025</v>
      </c>
      <c r="B1430" s="8" t="s">
        <v>434</v>
      </c>
      <c r="C1430" s="94" t="s">
        <v>435</v>
      </c>
      <c r="D1430" s="95">
        <v>3215062</v>
      </c>
      <c r="E1430" s="95">
        <v>2</v>
      </c>
      <c r="F1430" s="95"/>
      <c r="G1430" s="95">
        <v>107000</v>
      </c>
      <c r="H1430" s="95">
        <v>10.7</v>
      </c>
      <c r="I1430" s="95"/>
      <c r="J1430" s="95" t="s">
        <v>181</v>
      </c>
      <c r="K1430" s="95" t="b">
        <v>1</v>
      </c>
      <c r="L1430" s="95">
        <v>1</v>
      </c>
      <c r="M1430" s="96">
        <v>2026</v>
      </c>
      <c r="N1430" s="97">
        <v>0</v>
      </c>
      <c r="O1430" s="98">
        <v>46020</v>
      </c>
      <c r="P1430" s="98">
        <v>46020</v>
      </c>
      <c r="Q1430" s="99">
        <v>0</v>
      </c>
    </row>
    <row r="1431" spans="1:17">
      <c r="A1431" s="7">
        <v>2025</v>
      </c>
      <c r="B1431" s="8" t="s">
        <v>434</v>
      </c>
      <c r="C1431" s="94" t="s">
        <v>435</v>
      </c>
      <c r="D1431" s="95">
        <v>3215062</v>
      </c>
      <c r="E1431" s="95">
        <v>2</v>
      </c>
      <c r="F1431" s="95"/>
      <c r="G1431" s="95">
        <v>107000</v>
      </c>
      <c r="H1431" s="95">
        <v>10.7</v>
      </c>
      <c r="I1431" s="95"/>
      <c r="J1431" s="95" t="s">
        <v>181</v>
      </c>
      <c r="K1431" s="95" t="b">
        <v>1</v>
      </c>
      <c r="L1431" s="95">
        <v>9</v>
      </c>
      <c r="M1431" s="96">
        <v>2034</v>
      </c>
      <c r="N1431" s="97">
        <v>0</v>
      </c>
      <c r="O1431" s="98">
        <v>46020</v>
      </c>
      <c r="P1431" s="98">
        <v>46020</v>
      </c>
      <c r="Q1431" s="99">
        <v>0</v>
      </c>
    </row>
    <row r="1432" spans="1:17">
      <c r="A1432" s="7">
        <v>2025</v>
      </c>
      <c r="B1432" s="8" t="s">
        <v>434</v>
      </c>
      <c r="C1432" s="94" t="s">
        <v>435</v>
      </c>
      <c r="D1432" s="95">
        <v>3215062</v>
      </c>
      <c r="E1432" s="95">
        <v>2</v>
      </c>
      <c r="F1432" s="95"/>
      <c r="G1432" s="95">
        <v>107000</v>
      </c>
      <c r="H1432" s="95">
        <v>10.7</v>
      </c>
      <c r="I1432" s="95"/>
      <c r="J1432" s="95" t="s">
        <v>181</v>
      </c>
      <c r="K1432" s="95" t="b">
        <v>1</v>
      </c>
      <c r="L1432" s="95">
        <v>0</v>
      </c>
      <c r="M1432" s="96">
        <v>2025</v>
      </c>
      <c r="N1432" s="97">
        <v>0</v>
      </c>
      <c r="O1432" s="98">
        <v>46020</v>
      </c>
      <c r="P1432" s="98">
        <v>46020</v>
      </c>
      <c r="Q1432" s="99">
        <v>0</v>
      </c>
    </row>
    <row r="1433" spans="1:17">
      <c r="A1433" s="7">
        <v>2025</v>
      </c>
      <c r="B1433" s="8" t="s">
        <v>434</v>
      </c>
      <c r="C1433" s="94" t="s">
        <v>435</v>
      </c>
      <c r="D1433" s="95">
        <v>3215062</v>
      </c>
      <c r="E1433" s="95">
        <v>2</v>
      </c>
      <c r="F1433" s="95"/>
      <c r="G1433" s="95">
        <v>107000</v>
      </c>
      <c r="H1433" s="95">
        <v>10.7</v>
      </c>
      <c r="I1433" s="95"/>
      <c r="J1433" s="95" t="s">
        <v>181</v>
      </c>
      <c r="K1433" s="95" t="b">
        <v>1</v>
      </c>
      <c r="L1433" s="95">
        <v>10</v>
      </c>
      <c r="M1433" s="96">
        <v>2035</v>
      </c>
      <c r="N1433" s="97">
        <v>0</v>
      </c>
      <c r="O1433" s="98">
        <v>46020</v>
      </c>
      <c r="P1433" s="98">
        <v>46020</v>
      </c>
      <c r="Q1433" s="99">
        <v>0</v>
      </c>
    </row>
    <row r="1434" spans="1:17">
      <c r="A1434" s="7">
        <v>2025</v>
      </c>
      <c r="B1434" s="8" t="s">
        <v>434</v>
      </c>
      <c r="C1434" s="94" t="s">
        <v>435</v>
      </c>
      <c r="D1434" s="95">
        <v>3215062</v>
      </c>
      <c r="E1434" s="95">
        <v>2</v>
      </c>
      <c r="F1434" s="95"/>
      <c r="G1434" s="95">
        <v>107000</v>
      </c>
      <c r="H1434" s="95">
        <v>10.7</v>
      </c>
      <c r="I1434" s="95"/>
      <c r="J1434" s="95" t="s">
        <v>181</v>
      </c>
      <c r="K1434" s="95" t="b">
        <v>1</v>
      </c>
      <c r="L1434" s="95">
        <v>8</v>
      </c>
      <c r="M1434" s="96">
        <v>2033</v>
      </c>
      <c r="N1434" s="97">
        <v>0</v>
      </c>
      <c r="O1434" s="98">
        <v>46020</v>
      </c>
      <c r="P1434" s="98">
        <v>46020</v>
      </c>
      <c r="Q1434" s="99">
        <v>0</v>
      </c>
    </row>
    <row r="1435" spans="1:17">
      <c r="A1435" s="7">
        <v>2025</v>
      </c>
      <c r="B1435" s="8" t="s">
        <v>434</v>
      </c>
      <c r="C1435" s="94" t="s">
        <v>435</v>
      </c>
      <c r="D1435" s="95">
        <v>3215062</v>
      </c>
      <c r="E1435" s="95">
        <v>2</v>
      </c>
      <c r="F1435" s="95"/>
      <c r="G1435" s="95">
        <v>51130</v>
      </c>
      <c r="H1435" s="95" t="s">
        <v>101</v>
      </c>
      <c r="I1435" s="95" t="s">
        <v>471</v>
      </c>
      <c r="J1435" s="95" t="s">
        <v>143</v>
      </c>
      <c r="K1435" s="95" t="b">
        <v>1</v>
      </c>
      <c r="L1435" s="95">
        <v>7</v>
      </c>
      <c r="M1435" s="96">
        <v>2032</v>
      </c>
      <c r="N1435" s="97">
        <v>0</v>
      </c>
      <c r="O1435" s="98">
        <v>46020</v>
      </c>
      <c r="P1435" s="98">
        <v>46020</v>
      </c>
      <c r="Q1435" s="99">
        <v>0</v>
      </c>
    </row>
    <row r="1436" spans="1:17">
      <c r="A1436" s="7">
        <v>2025</v>
      </c>
      <c r="B1436" s="8" t="s">
        <v>434</v>
      </c>
      <c r="C1436" s="94" t="s">
        <v>435</v>
      </c>
      <c r="D1436" s="95">
        <v>3215062</v>
      </c>
      <c r="E1436" s="95">
        <v>2</v>
      </c>
      <c r="F1436" s="95"/>
      <c r="G1436" s="95">
        <v>51130</v>
      </c>
      <c r="H1436" s="95" t="s">
        <v>101</v>
      </c>
      <c r="I1436" s="95" t="s">
        <v>471</v>
      </c>
      <c r="J1436" s="95" t="s">
        <v>143</v>
      </c>
      <c r="K1436" s="95" t="b">
        <v>1</v>
      </c>
      <c r="L1436" s="95">
        <v>0</v>
      </c>
      <c r="M1436" s="96">
        <v>2025</v>
      </c>
      <c r="N1436" s="97">
        <v>0</v>
      </c>
      <c r="O1436" s="98">
        <v>46020</v>
      </c>
      <c r="P1436" s="98">
        <v>46020</v>
      </c>
      <c r="Q1436" s="99">
        <v>0</v>
      </c>
    </row>
    <row r="1437" spans="1:17">
      <c r="A1437" s="7">
        <v>2025</v>
      </c>
      <c r="B1437" s="8" t="s">
        <v>434</v>
      </c>
      <c r="C1437" s="94" t="s">
        <v>435</v>
      </c>
      <c r="D1437" s="95">
        <v>3215062</v>
      </c>
      <c r="E1437" s="95">
        <v>2</v>
      </c>
      <c r="F1437" s="95"/>
      <c r="G1437" s="95">
        <v>51130</v>
      </c>
      <c r="H1437" s="95" t="s">
        <v>101</v>
      </c>
      <c r="I1437" s="95" t="s">
        <v>471</v>
      </c>
      <c r="J1437" s="95" t="s">
        <v>143</v>
      </c>
      <c r="K1437" s="95" t="b">
        <v>1</v>
      </c>
      <c r="L1437" s="95">
        <v>2</v>
      </c>
      <c r="M1437" s="96">
        <v>2027</v>
      </c>
      <c r="N1437" s="97">
        <v>0</v>
      </c>
      <c r="O1437" s="98">
        <v>46020</v>
      </c>
      <c r="P1437" s="98">
        <v>46020</v>
      </c>
      <c r="Q1437" s="99">
        <v>0</v>
      </c>
    </row>
    <row r="1438" spans="1:17">
      <c r="A1438" s="7">
        <v>2025</v>
      </c>
      <c r="B1438" s="8" t="s">
        <v>434</v>
      </c>
      <c r="C1438" s="94" t="s">
        <v>435</v>
      </c>
      <c r="D1438" s="95">
        <v>3215062</v>
      </c>
      <c r="E1438" s="95">
        <v>2</v>
      </c>
      <c r="F1438" s="95"/>
      <c r="G1438" s="95">
        <v>51130</v>
      </c>
      <c r="H1438" s="95" t="s">
        <v>101</v>
      </c>
      <c r="I1438" s="95" t="s">
        <v>471</v>
      </c>
      <c r="J1438" s="95" t="s">
        <v>143</v>
      </c>
      <c r="K1438" s="95" t="b">
        <v>1</v>
      </c>
      <c r="L1438" s="95">
        <v>8</v>
      </c>
      <c r="M1438" s="96">
        <v>2033</v>
      </c>
      <c r="N1438" s="97">
        <v>0</v>
      </c>
      <c r="O1438" s="98">
        <v>46020</v>
      </c>
      <c r="P1438" s="98">
        <v>46020</v>
      </c>
      <c r="Q1438" s="99">
        <v>0</v>
      </c>
    </row>
    <row r="1439" spans="1:17">
      <c r="A1439" s="7">
        <v>2025</v>
      </c>
      <c r="B1439" s="8" t="s">
        <v>434</v>
      </c>
      <c r="C1439" s="94" t="s">
        <v>435</v>
      </c>
      <c r="D1439" s="95">
        <v>3215062</v>
      </c>
      <c r="E1439" s="95">
        <v>2</v>
      </c>
      <c r="F1439" s="95"/>
      <c r="G1439" s="95">
        <v>51130</v>
      </c>
      <c r="H1439" s="95" t="s">
        <v>101</v>
      </c>
      <c r="I1439" s="95" t="s">
        <v>471</v>
      </c>
      <c r="J1439" s="95" t="s">
        <v>143</v>
      </c>
      <c r="K1439" s="95" t="b">
        <v>1</v>
      </c>
      <c r="L1439" s="95">
        <v>11</v>
      </c>
      <c r="M1439" s="96">
        <v>2036</v>
      </c>
      <c r="N1439" s="97">
        <v>0</v>
      </c>
      <c r="O1439" s="98">
        <v>46020</v>
      </c>
      <c r="P1439" s="98">
        <v>46020</v>
      </c>
      <c r="Q1439" s="99">
        <v>0</v>
      </c>
    </row>
    <row r="1440" spans="1:17">
      <c r="A1440" s="7">
        <v>2025</v>
      </c>
      <c r="B1440" s="8" t="s">
        <v>434</v>
      </c>
      <c r="C1440" s="94" t="s">
        <v>435</v>
      </c>
      <c r="D1440" s="95">
        <v>3215062</v>
      </c>
      <c r="E1440" s="95">
        <v>2</v>
      </c>
      <c r="F1440" s="95"/>
      <c r="G1440" s="95">
        <v>51130</v>
      </c>
      <c r="H1440" s="95" t="s">
        <v>101</v>
      </c>
      <c r="I1440" s="95" t="s">
        <v>471</v>
      </c>
      <c r="J1440" s="95" t="s">
        <v>143</v>
      </c>
      <c r="K1440" s="95" t="b">
        <v>1</v>
      </c>
      <c r="L1440" s="95">
        <v>6</v>
      </c>
      <c r="M1440" s="96">
        <v>2031</v>
      </c>
      <c r="N1440" s="97">
        <v>0</v>
      </c>
      <c r="O1440" s="98">
        <v>46020</v>
      </c>
      <c r="P1440" s="98">
        <v>46020</v>
      </c>
      <c r="Q1440" s="99">
        <v>0</v>
      </c>
    </row>
    <row r="1441" spans="1:17">
      <c r="A1441" s="7">
        <v>2025</v>
      </c>
      <c r="B1441" s="8" t="s">
        <v>434</v>
      </c>
      <c r="C1441" s="94" t="s">
        <v>435</v>
      </c>
      <c r="D1441" s="95">
        <v>3215062</v>
      </c>
      <c r="E1441" s="95">
        <v>2</v>
      </c>
      <c r="F1441" s="95"/>
      <c r="G1441" s="95">
        <v>51130</v>
      </c>
      <c r="H1441" s="95" t="s">
        <v>101</v>
      </c>
      <c r="I1441" s="95" t="s">
        <v>471</v>
      </c>
      <c r="J1441" s="95" t="s">
        <v>143</v>
      </c>
      <c r="K1441" s="95" t="b">
        <v>1</v>
      </c>
      <c r="L1441" s="95">
        <v>3</v>
      </c>
      <c r="M1441" s="96">
        <v>2028</v>
      </c>
      <c r="N1441" s="97">
        <v>0</v>
      </c>
      <c r="O1441" s="98">
        <v>46020</v>
      </c>
      <c r="P1441" s="98">
        <v>46020</v>
      </c>
      <c r="Q1441" s="99">
        <v>0</v>
      </c>
    </row>
    <row r="1442" spans="1:17">
      <c r="A1442" s="7">
        <v>2025</v>
      </c>
      <c r="B1442" s="8" t="s">
        <v>434</v>
      </c>
      <c r="C1442" s="94" t="s">
        <v>435</v>
      </c>
      <c r="D1442" s="95">
        <v>3215062</v>
      </c>
      <c r="E1442" s="95">
        <v>2</v>
      </c>
      <c r="F1442" s="95"/>
      <c r="G1442" s="95">
        <v>51130</v>
      </c>
      <c r="H1442" s="95" t="s">
        <v>101</v>
      </c>
      <c r="I1442" s="95" t="s">
        <v>471</v>
      </c>
      <c r="J1442" s="95" t="s">
        <v>143</v>
      </c>
      <c r="K1442" s="95" t="b">
        <v>1</v>
      </c>
      <c r="L1442" s="95">
        <v>5</v>
      </c>
      <c r="M1442" s="96">
        <v>2030</v>
      </c>
      <c r="N1442" s="97">
        <v>0</v>
      </c>
      <c r="O1442" s="98">
        <v>46020</v>
      </c>
      <c r="P1442" s="98">
        <v>46020</v>
      </c>
      <c r="Q1442" s="99">
        <v>0</v>
      </c>
    </row>
    <row r="1443" spans="1:17">
      <c r="A1443" s="7">
        <v>2025</v>
      </c>
      <c r="B1443" s="8" t="s">
        <v>434</v>
      </c>
      <c r="C1443" s="94" t="s">
        <v>435</v>
      </c>
      <c r="D1443" s="95">
        <v>3215062</v>
      </c>
      <c r="E1443" s="95">
        <v>2</v>
      </c>
      <c r="F1443" s="95"/>
      <c r="G1443" s="95">
        <v>51130</v>
      </c>
      <c r="H1443" s="95" t="s">
        <v>101</v>
      </c>
      <c r="I1443" s="95" t="s">
        <v>471</v>
      </c>
      <c r="J1443" s="95" t="s">
        <v>143</v>
      </c>
      <c r="K1443" s="95" t="b">
        <v>1</v>
      </c>
      <c r="L1443" s="95">
        <v>4</v>
      </c>
      <c r="M1443" s="96">
        <v>2029</v>
      </c>
      <c r="N1443" s="97">
        <v>0</v>
      </c>
      <c r="O1443" s="98">
        <v>46020</v>
      </c>
      <c r="P1443" s="98">
        <v>46020</v>
      </c>
      <c r="Q1443" s="99">
        <v>0</v>
      </c>
    </row>
    <row r="1444" spans="1:17">
      <c r="A1444" s="7">
        <v>2025</v>
      </c>
      <c r="B1444" s="8" t="s">
        <v>434</v>
      </c>
      <c r="C1444" s="94" t="s">
        <v>435</v>
      </c>
      <c r="D1444" s="95">
        <v>3215062</v>
      </c>
      <c r="E1444" s="95">
        <v>2</v>
      </c>
      <c r="F1444" s="95"/>
      <c r="G1444" s="95">
        <v>51130</v>
      </c>
      <c r="H1444" s="95" t="s">
        <v>101</v>
      </c>
      <c r="I1444" s="95" t="s">
        <v>471</v>
      </c>
      <c r="J1444" s="95" t="s">
        <v>143</v>
      </c>
      <c r="K1444" s="95" t="b">
        <v>1</v>
      </c>
      <c r="L1444" s="95">
        <v>9</v>
      </c>
      <c r="M1444" s="96">
        <v>2034</v>
      </c>
      <c r="N1444" s="97">
        <v>0</v>
      </c>
      <c r="O1444" s="98">
        <v>46020</v>
      </c>
      <c r="P1444" s="98">
        <v>46020</v>
      </c>
      <c r="Q1444" s="99">
        <v>0</v>
      </c>
    </row>
    <row r="1445" spans="1:17">
      <c r="A1445" s="7">
        <v>2025</v>
      </c>
      <c r="B1445" s="8" t="s">
        <v>434</v>
      </c>
      <c r="C1445" s="94" t="s">
        <v>435</v>
      </c>
      <c r="D1445" s="95">
        <v>3215062</v>
      </c>
      <c r="E1445" s="95">
        <v>2</v>
      </c>
      <c r="F1445" s="95"/>
      <c r="G1445" s="95">
        <v>51130</v>
      </c>
      <c r="H1445" s="95" t="s">
        <v>101</v>
      </c>
      <c r="I1445" s="95" t="s">
        <v>471</v>
      </c>
      <c r="J1445" s="95" t="s">
        <v>143</v>
      </c>
      <c r="K1445" s="95" t="b">
        <v>1</v>
      </c>
      <c r="L1445" s="95">
        <v>10</v>
      </c>
      <c r="M1445" s="96">
        <v>2035</v>
      </c>
      <c r="N1445" s="97">
        <v>0</v>
      </c>
      <c r="O1445" s="98">
        <v>46020</v>
      </c>
      <c r="P1445" s="98">
        <v>46020</v>
      </c>
      <c r="Q1445" s="99">
        <v>0</v>
      </c>
    </row>
    <row r="1446" spans="1:17">
      <c r="A1446" s="7">
        <v>2025</v>
      </c>
      <c r="B1446" s="8" t="s">
        <v>434</v>
      </c>
      <c r="C1446" s="94" t="s">
        <v>435</v>
      </c>
      <c r="D1446" s="95">
        <v>3215062</v>
      </c>
      <c r="E1446" s="95">
        <v>2</v>
      </c>
      <c r="F1446" s="95"/>
      <c r="G1446" s="95">
        <v>51130</v>
      </c>
      <c r="H1446" s="95" t="s">
        <v>101</v>
      </c>
      <c r="I1446" s="95" t="s">
        <v>471</v>
      </c>
      <c r="J1446" s="95" t="s">
        <v>143</v>
      </c>
      <c r="K1446" s="95" t="b">
        <v>1</v>
      </c>
      <c r="L1446" s="95">
        <v>13</v>
      </c>
      <c r="M1446" s="96">
        <v>2038</v>
      </c>
      <c r="N1446" s="97">
        <v>0</v>
      </c>
      <c r="O1446" s="98">
        <v>46020</v>
      </c>
      <c r="P1446" s="98">
        <v>46020</v>
      </c>
      <c r="Q1446" s="99">
        <v>0</v>
      </c>
    </row>
    <row r="1447" spans="1:17">
      <c r="A1447" s="7">
        <v>2025</v>
      </c>
      <c r="B1447" s="8" t="s">
        <v>434</v>
      </c>
      <c r="C1447" s="94" t="s">
        <v>435</v>
      </c>
      <c r="D1447" s="95">
        <v>3215062</v>
      </c>
      <c r="E1447" s="95">
        <v>2</v>
      </c>
      <c r="F1447" s="95"/>
      <c r="G1447" s="95">
        <v>51130</v>
      </c>
      <c r="H1447" s="95" t="s">
        <v>101</v>
      </c>
      <c r="I1447" s="95" t="s">
        <v>471</v>
      </c>
      <c r="J1447" s="95" t="s">
        <v>143</v>
      </c>
      <c r="K1447" s="95" t="b">
        <v>1</v>
      </c>
      <c r="L1447" s="95">
        <v>12</v>
      </c>
      <c r="M1447" s="96">
        <v>2037</v>
      </c>
      <c r="N1447" s="97">
        <v>0</v>
      </c>
      <c r="O1447" s="98">
        <v>46020</v>
      </c>
      <c r="P1447" s="98">
        <v>46020</v>
      </c>
      <c r="Q1447" s="99">
        <v>0</v>
      </c>
    </row>
    <row r="1448" spans="1:17">
      <c r="A1448" s="7">
        <v>2025</v>
      </c>
      <c r="B1448" s="8" t="s">
        <v>434</v>
      </c>
      <c r="C1448" s="94" t="s">
        <v>435</v>
      </c>
      <c r="D1448" s="95">
        <v>3215062</v>
      </c>
      <c r="E1448" s="95">
        <v>2</v>
      </c>
      <c r="F1448" s="95"/>
      <c r="G1448" s="95">
        <v>51130</v>
      </c>
      <c r="H1448" s="95" t="s">
        <v>101</v>
      </c>
      <c r="I1448" s="95" t="s">
        <v>471</v>
      </c>
      <c r="J1448" s="95" t="s">
        <v>143</v>
      </c>
      <c r="K1448" s="95" t="b">
        <v>1</v>
      </c>
      <c r="L1448" s="95">
        <v>1</v>
      </c>
      <c r="M1448" s="96">
        <v>2026</v>
      </c>
      <c r="N1448" s="97">
        <v>0</v>
      </c>
      <c r="O1448" s="98">
        <v>46020</v>
      </c>
      <c r="P1448" s="98">
        <v>46020</v>
      </c>
      <c r="Q1448" s="99">
        <v>0</v>
      </c>
    </row>
    <row r="1449" spans="1:17">
      <c r="A1449" s="7">
        <v>2025</v>
      </c>
      <c r="B1449" s="8" t="s">
        <v>434</v>
      </c>
      <c r="C1449" s="94" t="s">
        <v>435</v>
      </c>
      <c r="D1449" s="95">
        <v>3215062</v>
      </c>
      <c r="E1449" s="95">
        <v>2</v>
      </c>
      <c r="F1449" s="95"/>
      <c r="G1449" s="95">
        <v>122000</v>
      </c>
      <c r="H1449" s="95">
        <v>12.2</v>
      </c>
      <c r="I1449" s="95" t="s">
        <v>446</v>
      </c>
      <c r="J1449" s="95" t="s">
        <v>472</v>
      </c>
      <c r="K1449" s="95" t="b">
        <v>1</v>
      </c>
      <c r="L1449" s="95">
        <v>4</v>
      </c>
      <c r="M1449" s="96">
        <v>2029</v>
      </c>
      <c r="N1449" s="97">
        <v>0</v>
      </c>
      <c r="O1449" s="98">
        <v>46020</v>
      </c>
      <c r="P1449" s="98">
        <v>46020</v>
      </c>
      <c r="Q1449" s="99">
        <v>0</v>
      </c>
    </row>
    <row r="1450" spans="1:17">
      <c r="A1450" s="7">
        <v>2025</v>
      </c>
      <c r="B1450" s="8" t="s">
        <v>434</v>
      </c>
      <c r="C1450" s="94" t="s">
        <v>435</v>
      </c>
      <c r="D1450" s="95">
        <v>3215062</v>
      </c>
      <c r="E1450" s="95">
        <v>2</v>
      </c>
      <c r="F1450" s="95"/>
      <c r="G1450" s="95">
        <v>122000</v>
      </c>
      <c r="H1450" s="95">
        <v>12.2</v>
      </c>
      <c r="I1450" s="95" t="s">
        <v>446</v>
      </c>
      <c r="J1450" s="95" t="s">
        <v>472</v>
      </c>
      <c r="K1450" s="95" t="b">
        <v>1</v>
      </c>
      <c r="L1450" s="95">
        <v>1</v>
      </c>
      <c r="M1450" s="96">
        <v>2026</v>
      </c>
      <c r="N1450" s="97">
        <v>0</v>
      </c>
      <c r="O1450" s="98">
        <v>46020</v>
      </c>
      <c r="P1450" s="98">
        <v>46020</v>
      </c>
      <c r="Q1450" s="99">
        <v>0</v>
      </c>
    </row>
    <row r="1451" spans="1:17">
      <c r="A1451" s="7">
        <v>2025</v>
      </c>
      <c r="B1451" s="8" t="s">
        <v>434</v>
      </c>
      <c r="C1451" s="94" t="s">
        <v>435</v>
      </c>
      <c r="D1451" s="95">
        <v>3215062</v>
      </c>
      <c r="E1451" s="95">
        <v>2</v>
      </c>
      <c r="F1451" s="95"/>
      <c r="G1451" s="95">
        <v>122000</v>
      </c>
      <c r="H1451" s="95">
        <v>12.2</v>
      </c>
      <c r="I1451" s="95" t="s">
        <v>446</v>
      </c>
      <c r="J1451" s="95" t="s">
        <v>472</v>
      </c>
      <c r="K1451" s="95" t="b">
        <v>1</v>
      </c>
      <c r="L1451" s="95">
        <v>6</v>
      </c>
      <c r="M1451" s="96">
        <v>2031</v>
      </c>
      <c r="N1451" s="97">
        <v>0</v>
      </c>
      <c r="O1451" s="98">
        <v>46020</v>
      </c>
      <c r="P1451" s="98">
        <v>46020</v>
      </c>
      <c r="Q1451" s="99">
        <v>0</v>
      </c>
    </row>
    <row r="1452" spans="1:17">
      <c r="A1452" s="7">
        <v>2025</v>
      </c>
      <c r="B1452" s="8" t="s">
        <v>434</v>
      </c>
      <c r="C1452" s="94" t="s">
        <v>435</v>
      </c>
      <c r="D1452" s="95">
        <v>3215062</v>
      </c>
      <c r="E1452" s="95">
        <v>2</v>
      </c>
      <c r="F1452" s="95"/>
      <c r="G1452" s="95">
        <v>122000</v>
      </c>
      <c r="H1452" s="95">
        <v>12.2</v>
      </c>
      <c r="I1452" s="95" t="s">
        <v>446</v>
      </c>
      <c r="J1452" s="95" t="s">
        <v>472</v>
      </c>
      <c r="K1452" s="95" t="b">
        <v>1</v>
      </c>
      <c r="L1452" s="95">
        <v>11</v>
      </c>
      <c r="M1452" s="96">
        <v>2036</v>
      </c>
      <c r="N1452" s="97">
        <v>0</v>
      </c>
      <c r="O1452" s="98">
        <v>46020</v>
      </c>
      <c r="P1452" s="98">
        <v>46020</v>
      </c>
      <c r="Q1452" s="99">
        <v>0</v>
      </c>
    </row>
    <row r="1453" spans="1:17">
      <c r="A1453" s="7">
        <v>2025</v>
      </c>
      <c r="B1453" s="8" t="s">
        <v>434</v>
      </c>
      <c r="C1453" s="94" t="s">
        <v>435</v>
      </c>
      <c r="D1453" s="95">
        <v>3215062</v>
      </c>
      <c r="E1453" s="95">
        <v>2</v>
      </c>
      <c r="F1453" s="95"/>
      <c r="G1453" s="95">
        <v>122000</v>
      </c>
      <c r="H1453" s="95">
        <v>12.2</v>
      </c>
      <c r="I1453" s="95" t="s">
        <v>446</v>
      </c>
      <c r="J1453" s="95" t="s">
        <v>472</v>
      </c>
      <c r="K1453" s="95" t="b">
        <v>1</v>
      </c>
      <c r="L1453" s="95">
        <v>2</v>
      </c>
      <c r="M1453" s="96">
        <v>2027</v>
      </c>
      <c r="N1453" s="97">
        <v>0</v>
      </c>
      <c r="O1453" s="98">
        <v>46020</v>
      </c>
      <c r="P1453" s="98">
        <v>46020</v>
      </c>
      <c r="Q1453" s="99">
        <v>0</v>
      </c>
    </row>
    <row r="1454" spans="1:17">
      <c r="A1454" s="7">
        <v>2025</v>
      </c>
      <c r="B1454" s="8" t="s">
        <v>434</v>
      </c>
      <c r="C1454" s="94" t="s">
        <v>435</v>
      </c>
      <c r="D1454" s="95">
        <v>3215062</v>
      </c>
      <c r="E1454" s="95">
        <v>2</v>
      </c>
      <c r="F1454" s="95"/>
      <c r="G1454" s="95">
        <v>122000</v>
      </c>
      <c r="H1454" s="95">
        <v>12.2</v>
      </c>
      <c r="I1454" s="95" t="s">
        <v>446</v>
      </c>
      <c r="J1454" s="95" t="s">
        <v>472</v>
      </c>
      <c r="K1454" s="95" t="b">
        <v>1</v>
      </c>
      <c r="L1454" s="95">
        <v>12</v>
      </c>
      <c r="M1454" s="96">
        <v>2037</v>
      </c>
      <c r="N1454" s="97">
        <v>0</v>
      </c>
      <c r="O1454" s="98">
        <v>46020</v>
      </c>
      <c r="P1454" s="98">
        <v>46020</v>
      </c>
      <c r="Q1454" s="99">
        <v>0</v>
      </c>
    </row>
    <row r="1455" spans="1:17">
      <c r="A1455" s="7">
        <v>2025</v>
      </c>
      <c r="B1455" s="8" t="s">
        <v>434</v>
      </c>
      <c r="C1455" s="94" t="s">
        <v>435</v>
      </c>
      <c r="D1455" s="95">
        <v>3215062</v>
      </c>
      <c r="E1455" s="95">
        <v>2</v>
      </c>
      <c r="F1455" s="95"/>
      <c r="G1455" s="95">
        <v>122000</v>
      </c>
      <c r="H1455" s="95">
        <v>12.2</v>
      </c>
      <c r="I1455" s="95" t="s">
        <v>446</v>
      </c>
      <c r="J1455" s="95" t="s">
        <v>472</v>
      </c>
      <c r="K1455" s="95" t="b">
        <v>1</v>
      </c>
      <c r="L1455" s="95">
        <v>13</v>
      </c>
      <c r="M1455" s="96">
        <v>2038</v>
      </c>
      <c r="N1455" s="97">
        <v>0</v>
      </c>
      <c r="O1455" s="98">
        <v>46020</v>
      </c>
      <c r="P1455" s="98">
        <v>46020</v>
      </c>
      <c r="Q1455" s="99">
        <v>0</v>
      </c>
    </row>
    <row r="1456" spans="1:17">
      <c r="A1456" s="7">
        <v>2025</v>
      </c>
      <c r="B1456" s="8" t="s">
        <v>434</v>
      </c>
      <c r="C1456" s="94" t="s">
        <v>435</v>
      </c>
      <c r="D1456" s="95">
        <v>3215062</v>
      </c>
      <c r="E1456" s="95">
        <v>2</v>
      </c>
      <c r="F1456" s="95"/>
      <c r="G1456" s="95">
        <v>122000</v>
      </c>
      <c r="H1456" s="95">
        <v>12.2</v>
      </c>
      <c r="I1456" s="95" t="s">
        <v>446</v>
      </c>
      <c r="J1456" s="95" t="s">
        <v>472</v>
      </c>
      <c r="K1456" s="95" t="b">
        <v>1</v>
      </c>
      <c r="L1456" s="95">
        <v>5</v>
      </c>
      <c r="M1456" s="96">
        <v>2030</v>
      </c>
      <c r="N1456" s="97">
        <v>0</v>
      </c>
      <c r="O1456" s="98">
        <v>46020</v>
      </c>
      <c r="P1456" s="98">
        <v>46020</v>
      </c>
      <c r="Q1456" s="99">
        <v>0</v>
      </c>
    </row>
    <row r="1457" spans="1:17">
      <c r="A1457" s="7">
        <v>2025</v>
      </c>
      <c r="B1457" s="8" t="s">
        <v>434</v>
      </c>
      <c r="C1457" s="94" t="s">
        <v>435</v>
      </c>
      <c r="D1457" s="95">
        <v>3215062</v>
      </c>
      <c r="E1457" s="95">
        <v>2</v>
      </c>
      <c r="F1457" s="95"/>
      <c r="G1457" s="95">
        <v>122000</v>
      </c>
      <c r="H1457" s="95">
        <v>12.2</v>
      </c>
      <c r="I1457" s="95" t="s">
        <v>446</v>
      </c>
      <c r="J1457" s="95" t="s">
        <v>472</v>
      </c>
      <c r="K1457" s="95" t="b">
        <v>1</v>
      </c>
      <c r="L1457" s="95">
        <v>0</v>
      </c>
      <c r="M1457" s="96">
        <v>2025</v>
      </c>
      <c r="N1457" s="97">
        <v>0</v>
      </c>
      <c r="O1457" s="98">
        <v>46020</v>
      </c>
      <c r="P1457" s="98">
        <v>46020</v>
      </c>
      <c r="Q1457" s="99">
        <v>0</v>
      </c>
    </row>
    <row r="1458" spans="1:17">
      <c r="A1458" s="7">
        <v>2025</v>
      </c>
      <c r="B1458" s="8" t="s">
        <v>434</v>
      </c>
      <c r="C1458" s="94" t="s">
        <v>435</v>
      </c>
      <c r="D1458" s="95">
        <v>3215062</v>
      </c>
      <c r="E1458" s="95">
        <v>2</v>
      </c>
      <c r="F1458" s="95"/>
      <c r="G1458" s="95">
        <v>122000</v>
      </c>
      <c r="H1458" s="95">
        <v>12.2</v>
      </c>
      <c r="I1458" s="95" t="s">
        <v>446</v>
      </c>
      <c r="J1458" s="95" t="s">
        <v>472</v>
      </c>
      <c r="K1458" s="95" t="b">
        <v>1</v>
      </c>
      <c r="L1458" s="95">
        <v>10</v>
      </c>
      <c r="M1458" s="96">
        <v>2035</v>
      </c>
      <c r="N1458" s="97">
        <v>0</v>
      </c>
      <c r="O1458" s="98">
        <v>46020</v>
      </c>
      <c r="P1458" s="98">
        <v>46020</v>
      </c>
      <c r="Q1458" s="99">
        <v>0</v>
      </c>
    </row>
    <row r="1459" spans="1:17">
      <c r="A1459" s="7">
        <v>2025</v>
      </c>
      <c r="B1459" s="8" t="s">
        <v>434</v>
      </c>
      <c r="C1459" s="94" t="s">
        <v>435</v>
      </c>
      <c r="D1459" s="95">
        <v>3215062</v>
      </c>
      <c r="E1459" s="95">
        <v>2</v>
      </c>
      <c r="F1459" s="95"/>
      <c r="G1459" s="95">
        <v>122000</v>
      </c>
      <c r="H1459" s="95">
        <v>12.2</v>
      </c>
      <c r="I1459" s="95" t="s">
        <v>446</v>
      </c>
      <c r="J1459" s="95" t="s">
        <v>472</v>
      </c>
      <c r="K1459" s="95" t="b">
        <v>1</v>
      </c>
      <c r="L1459" s="95">
        <v>3</v>
      </c>
      <c r="M1459" s="96">
        <v>2028</v>
      </c>
      <c r="N1459" s="97">
        <v>0</v>
      </c>
      <c r="O1459" s="98">
        <v>46020</v>
      </c>
      <c r="P1459" s="98">
        <v>46020</v>
      </c>
      <c r="Q1459" s="99">
        <v>0</v>
      </c>
    </row>
    <row r="1460" spans="1:17">
      <c r="A1460" s="7">
        <v>2025</v>
      </c>
      <c r="B1460" s="8" t="s">
        <v>434</v>
      </c>
      <c r="C1460" s="94" t="s">
        <v>435</v>
      </c>
      <c r="D1460" s="95">
        <v>3215062</v>
      </c>
      <c r="E1460" s="95">
        <v>2</v>
      </c>
      <c r="F1460" s="95"/>
      <c r="G1460" s="95">
        <v>122000</v>
      </c>
      <c r="H1460" s="95">
        <v>12.2</v>
      </c>
      <c r="I1460" s="95" t="s">
        <v>446</v>
      </c>
      <c r="J1460" s="95" t="s">
        <v>472</v>
      </c>
      <c r="K1460" s="95" t="b">
        <v>1</v>
      </c>
      <c r="L1460" s="95">
        <v>8</v>
      </c>
      <c r="M1460" s="96">
        <v>2033</v>
      </c>
      <c r="N1460" s="97">
        <v>0</v>
      </c>
      <c r="O1460" s="98">
        <v>46020</v>
      </c>
      <c r="P1460" s="98">
        <v>46020</v>
      </c>
      <c r="Q1460" s="99">
        <v>0</v>
      </c>
    </row>
    <row r="1461" spans="1:17">
      <c r="A1461" s="7">
        <v>2025</v>
      </c>
      <c r="B1461" s="8" t="s">
        <v>434</v>
      </c>
      <c r="C1461" s="94" t="s">
        <v>435</v>
      </c>
      <c r="D1461" s="95">
        <v>3215062</v>
      </c>
      <c r="E1461" s="95">
        <v>2</v>
      </c>
      <c r="F1461" s="95"/>
      <c r="G1461" s="95">
        <v>122000</v>
      </c>
      <c r="H1461" s="95">
        <v>12.2</v>
      </c>
      <c r="I1461" s="95" t="s">
        <v>446</v>
      </c>
      <c r="J1461" s="95" t="s">
        <v>472</v>
      </c>
      <c r="K1461" s="95" t="b">
        <v>1</v>
      </c>
      <c r="L1461" s="95">
        <v>7</v>
      </c>
      <c r="M1461" s="96">
        <v>2032</v>
      </c>
      <c r="N1461" s="97">
        <v>0</v>
      </c>
      <c r="O1461" s="98">
        <v>46020</v>
      </c>
      <c r="P1461" s="98">
        <v>46020</v>
      </c>
      <c r="Q1461" s="99">
        <v>0</v>
      </c>
    </row>
    <row r="1462" spans="1:17">
      <c r="A1462" s="7">
        <v>2025</v>
      </c>
      <c r="B1462" s="8" t="s">
        <v>434</v>
      </c>
      <c r="C1462" s="94" t="s">
        <v>435</v>
      </c>
      <c r="D1462" s="95">
        <v>3215062</v>
      </c>
      <c r="E1462" s="95">
        <v>2</v>
      </c>
      <c r="F1462" s="95"/>
      <c r="G1462" s="95">
        <v>122000</v>
      </c>
      <c r="H1462" s="95">
        <v>12.2</v>
      </c>
      <c r="I1462" s="95" t="s">
        <v>446</v>
      </c>
      <c r="J1462" s="95" t="s">
        <v>472</v>
      </c>
      <c r="K1462" s="95" t="b">
        <v>1</v>
      </c>
      <c r="L1462" s="95">
        <v>9</v>
      </c>
      <c r="M1462" s="96">
        <v>2034</v>
      </c>
      <c r="N1462" s="97">
        <v>0</v>
      </c>
      <c r="O1462" s="98">
        <v>46020</v>
      </c>
      <c r="P1462" s="98">
        <v>46020</v>
      </c>
      <c r="Q1462" s="99">
        <v>0</v>
      </c>
    </row>
    <row r="1463" spans="1:17">
      <c r="A1463" s="7">
        <v>2025</v>
      </c>
      <c r="B1463" s="8" t="s">
        <v>434</v>
      </c>
      <c r="C1463" s="94" t="s">
        <v>435</v>
      </c>
      <c r="D1463" s="95">
        <v>3215062</v>
      </c>
      <c r="E1463" s="95">
        <v>2</v>
      </c>
      <c r="F1463" s="95"/>
      <c r="G1463" s="95">
        <v>51131</v>
      </c>
      <c r="H1463" s="95" t="s">
        <v>202</v>
      </c>
      <c r="I1463" s="95"/>
      <c r="J1463" s="95" t="s">
        <v>144</v>
      </c>
      <c r="K1463" s="95" t="b">
        <v>1</v>
      </c>
      <c r="L1463" s="95">
        <v>3</v>
      </c>
      <c r="M1463" s="96">
        <v>2028</v>
      </c>
      <c r="N1463" s="97">
        <v>0</v>
      </c>
      <c r="O1463" s="98">
        <v>46020</v>
      </c>
      <c r="P1463" s="98">
        <v>46020</v>
      </c>
      <c r="Q1463" s="99">
        <v>0</v>
      </c>
    </row>
    <row r="1464" spans="1:17">
      <c r="A1464" s="7">
        <v>2025</v>
      </c>
      <c r="B1464" s="8" t="s">
        <v>434</v>
      </c>
      <c r="C1464" s="94" t="s">
        <v>435</v>
      </c>
      <c r="D1464" s="95">
        <v>3215062</v>
      </c>
      <c r="E1464" s="95">
        <v>2</v>
      </c>
      <c r="F1464" s="95"/>
      <c r="G1464" s="95">
        <v>51131</v>
      </c>
      <c r="H1464" s="95" t="s">
        <v>202</v>
      </c>
      <c r="I1464" s="95"/>
      <c r="J1464" s="95" t="s">
        <v>144</v>
      </c>
      <c r="K1464" s="95" t="b">
        <v>1</v>
      </c>
      <c r="L1464" s="95">
        <v>13</v>
      </c>
      <c r="M1464" s="96">
        <v>2038</v>
      </c>
      <c r="N1464" s="97">
        <v>0</v>
      </c>
      <c r="O1464" s="98">
        <v>46020</v>
      </c>
      <c r="P1464" s="98">
        <v>46020</v>
      </c>
      <c r="Q1464" s="99">
        <v>0</v>
      </c>
    </row>
    <row r="1465" spans="1:17">
      <c r="A1465" s="7">
        <v>2025</v>
      </c>
      <c r="B1465" s="8" t="s">
        <v>434</v>
      </c>
      <c r="C1465" s="94" t="s">
        <v>435</v>
      </c>
      <c r="D1465" s="95">
        <v>3215062</v>
      </c>
      <c r="E1465" s="95">
        <v>2</v>
      </c>
      <c r="F1465" s="95"/>
      <c r="G1465" s="95">
        <v>51131</v>
      </c>
      <c r="H1465" s="95" t="s">
        <v>202</v>
      </c>
      <c r="I1465" s="95"/>
      <c r="J1465" s="95" t="s">
        <v>144</v>
      </c>
      <c r="K1465" s="95" t="b">
        <v>1</v>
      </c>
      <c r="L1465" s="95">
        <v>7</v>
      </c>
      <c r="M1465" s="96">
        <v>2032</v>
      </c>
      <c r="N1465" s="97">
        <v>0</v>
      </c>
      <c r="O1465" s="98">
        <v>46020</v>
      </c>
      <c r="P1465" s="98">
        <v>46020</v>
      </c>
      <c r="Q1465" s="99">
        <v>0</v>
      </c>
    </row>
    <row r="1466" spans="1:17">
      <c r="A1466" s="7">
        <v>2025</v>
      </c>
      <c r="B1466" s="8" t="s">
        <v>434</v>
      </c>
      <c r="C1466" s="94" t="s">
        <v>435</v>
      </c>
      <c r="D1466" s="95">
        <v>3215062</v>
      </c>
      <c r="E1466" s="95">
        <v>2</v>
      </c>
      <c r="F1466" s="95"/>
      <c r="G1466" s="95">
        <v>51131</v>
      </c>
      <c r="H1466" s="95" t="s">
        <v>202</v>
      </c>
      <c r="I1466" s="95"/>
      <c r="J1466" s="95" t="s">
        <v>144</v>
      </c>
      <c r="K1466" s="95" t="b">
        <v>1</v>
      </c>
      <c r="L1466" s="95">
        <v>0</v>
      </c>
      <c r="M1466" s="96">
        <v>2025</v>
      </c>
      <c r="N1466" s="97">
        <v>0</v>
      </c>
      <c r="O1466" s="98">
        <v>46020</v>
      </c>
      <c r="P1466" s="98">
        <v>46020</v>
      </c>
      <c r="Q1466" s="99">
        <v>0</v>
      </c>
    </row>
    <row r="1467" spans="1:17">
      <c r="A1467" s="7">
        <v>2025</v>
      </c>
      <c r="B1467" s="8" t="s">
        <v>434</v>
      </c>
      <c r="C1467" s="94" t="s">
        <v>435</v>
      </c>
      <c r="D1467" s="95">
        <v>3215062</v>
      </c>
      <c r="E1467" s="95">
        <v>2</v>
      </c>
      <c r="F1467" s="95"/>
      <c r="G1467" s="95">
        <v>51131</v>
      </c>
      <c r="H1467" s="95" t="s">
        <v>202</v>
      </c>
      <c r="I1467" s="95"/>
      <c r="J1467" s="95" t="s">
        <v>144</v>
      </c>
      <c r="K1467" s="95" t="b">
        <v>1</v>
      </c>
      <c r="L1467" s="95">
        <v>10</v>
      </c>
      <c r="M1467" s="96">
        <v>2035</v>
      </c>
      <c r="N1467" s="97">
        <v>0</v>
      </c>
      <c r="O1467" s="98">
        <v>46020</v>
      </c>
      <c r="P1467" s="98">
        <v>46020</v>
      </c>
      <c r="Q1467" s="99">
        <v>0</v>
      </c>
    </row>
    <row r="1468" spans="1:17">
      <c r="A1468" s="7">
        <v>2025</v>
      </c>
      <c r="B1468" s="8" t="s">
        <v>434</v>
      </c>
      <c r="C1468" s="94" t="s">
        <v>435</v>
      </c>
      <c r="D1468" s="95">
        <v>3215062</v>
      </c>
      <c r="E1468" s="95">
        <v>2</v>
      </c>
      <c r="F1468" s="95"/>
      <c r="G1468" s="95">
        <v>51131</v>
      </c>
      <c r="H1468" s="95" t="s">
        <v>202</v>
      </c>
      <c r="I1468" s="95"/>
      <c r="J1468" s="95" t="s">
        <v>144</v>
      </c>
      <c r="K1468" s="95" t="b">
        <v>1</v>
      </c>
      <c r="L1468" s="95">
        <v>8</v>
      </c>
      <c r="M1468" s="96">
        <v>2033</v>
      </c>
      <c r="N1468" s="97">
        <v>0</v>
      </c>
      <c r="O1468" s="98">
        <v>46020</v>
      </c>
      <c r="P1468" s="98">
        <v>46020</v>
      </c>
      <c r="Q1468" s="99">
        <v>0</v>
      </c>
    </row>
    <row r="1469" spans="1:17">
      <c r="A1469" s="7">
        <v>2025</v>
      </c>
      <c r="B1469" s="8" t="s">
        <v>434</v>
      </c>
      <c r="C1469" s="94" t="s">
        <v>435</v>
      </c>
      <c r="D1469" s="95">
        <v>3215062</v>
      </c>
      <c r="E1469" s="95">
        <v>2</v>
      </c>
      <c r="F1469" s="95"/>
      <c r="G1469" s="95">
        <v>51131</v>
      </c>
      <c r="H1469" s="95" t="s">
        <v>202</v>
      </c>
      <c r="I1469" s="95"/>
      <c r="J1469" s="95" t="s">
        <v>144</v>
      </c>
      <c r="K1469" s="95" t="b">
        <v>1</v>
      </c>
      <c r="L1469" s="95">
        <v>1</v>
      </c>
      <c r="M1469" s="96">
        <v>2026</v>
      </c>
      <c r="N1469" s="97">
        <v>0</v>
      </c>
      <c r="O1469" s="98">
        <v>46020</v>
      </c>
      <c r="P1469" s="98">
        <v>46020</v>
      </c>
      <c r="Q1469" s="99">
        <v>0</v>
      </c>
    </row>
    <row r="1470" spans="1:17">
      <c r="A1470" s="7">
        <v>2025</v>
      </c>
      <c r="B1470" s="8" t="s">
        <v>434</v>
      </c>
      <c r="C1470" s="94" t="s">
        <v>435</v>
      </c>
      <c r="D1470" s="95">
        <v>3215062</v>
      </c>
      <c r="E1470" s="95">
        <v>2</v>
      </c>
      <c r="F1470" s="95"/>
      <c r="G1470" s="95">
        <v>51131</v>
      </c>
      <c r="H1470" s="95" t="s">
        <v>202</v>
      </c>
      <c r="I1470" s="95"/>
      <c r="J1470" s="95" t="s">
        <v>144</v>
      </c>
      <c r="K1470" s="95" t="b">
        <v>1</v>
      </c>
      <c r="L1470" s="95">
        <v>4</v>
      </c>
      <c r="M1470" s="96">
        <v>2029</v>
      </c>
      <c r="N1470" s="97">
        <v>0</v>
      </c>
      <c r="O1470" s="98">
        <v>46020</v>
      </c>
      <c r="P1470" s="98">
        <v>46020</v>
      </c>
      <c r="Q1470" s="99">
        <v>0</v>
      </c>
    </row>
    <row r="1471" spans="1:17">
      <c r="A1471" s="7">
        <v>2025</v>
      </c>
      <c r="B1471" s="8" t="s">
        <v>434</v>
      </c>
      <c r="C1471" s="94" t="s">
        <v>435</v>
      </c>
      <c r="D1471" s="95">
        <v>3215062</v>
      </c>
      <c r="E1471" s="95">
        <v>2</v>
      </c>
      <c r="F1471" s="95"/>
      <c r="G1471" s="95">
        <v>51131</v>
      </c>
      <c r="H1471" s="95" t="s">
        <v>202</v>
      </c>
      <c r="I1471" s="95"/>
      <c r="J1471" s="95" t="s">
        <v>144</v>
      </c>
      <c r="K1471" s="95" t="b">
        <v>1</v>
      </c>
      <c r="L1471" s="95">
        <v>12</v>
      </c>
      <c r="M1471" s="96">
        <v>2037</v>
      </c>
      <c r="N1471" s="97">
        <v>0</v>
      </c>
      <c r="O1471" s="98">
        <v>46020</v>
      </c>
      <c r="P1471" s="98">
        <v>46020</v>
      </c>
      <c r="Q1471" s="99">
        <v>0</v>
      </c>
    </row>
    <row r="1472" spans="1:17">
      <c r="A1472" s="7">
        <v>2025</v>
      </c>
      <c r="B1472" s="8" t="s">
        <v>434</v>
      </c>
      <c r="C1472" s="94" t="s">
        <v>435</v>
      </c>
      <c r="D1472" s="95">
        <v>3215062</v>
      </c>
      <c r="E1472" s="95">
        <v>2</v>
      </c>
      <c r="F1472" s="95"/>
      <c r="G1472" s="95">
        <v>51131</v>
      </c>
      <c r="H1472" s="95" t="s">
        <v>202</v>
      </c>
      <c r="I1472" s="95"/>
      <c r="J1472" s="95" t="s">
        <v>144</v>
      </c>
      <c r="K1472" s="95" t="b">
        <v>1</v>
      </c>
      <c r="L1472" s="95">
        <v>5</v>
      </c>
      <c r="M1472" s="96">
        <v>2030</v>
      </c>
      <c r="N1472" s="97">
        <v>0</v>
      </c>
      <c r="O1472" s="98">
        <v>46020</v>
      </c>
      <c r="P1472" s="98">
        <v>46020</v>
      </c>
      <c r="Q1472" s="99">
        <v>0</v>
      </c>
    </row>
    <row r="1473" spans="1:17">
      <c r="A1473" s="7">
        <v>2025</v>
      </c>
      <c r="B1473" s="8" t="s">
        <v>434</v>
      </c>
      <c r="C1473" s="94" t="s">
        <v>435</v>
      </c>
      <c r="D1473" s="95">
        <v>3215062</v>
      </c>
      <c r="E1473" s="95">
        <v>2</v>
      </c>
      <c r="F1473" s="95"/>
      <c r="G1473" s="95">
        <v>51131</v>
      </c>
      <c r="H1473" s="95" t="s">
        <v>202</v>
      </c>
      <c r="I1473" s="95"/>
      <c r="J1473" s="95" t="s">
        <v>144</v>
      </c>
      <c r="K1473" s="95" t="b">
        <v>1</v>
      </c>
      <c r="L1473" s="95">
        <v>11</v>
      </c>
      <c r="M1473" s="96">
        <v>2036</v>
      </c>
      <c r="N1473" s="97">
        <v>0</v>
      </c>
      <c r="O1473" s="98">
        <v>46020</v>
      </c>
      <c r="P1473" s="98">
        <v>46020</v>
      </c>
      <c r="Q1473" s="99">
        <v>0</v>
      </c>
    </row>
    <row r="1474" spans="1:17">
      <c r="A1474" s="7">
        <v>2025</v>
      </c>
      <c r="B1474" s="8" t="s">
        <v>434</v>
      </c>
      <c r="C1474" s="94" t="s">
        <v>435</v>
      </c>
      <c r="D1474" s="95">
        <v>3215062</v>
      </c>
      <c r="E1474" s="95">
        <v>2</v>
      </c>
      <c r="F1474" s="95"/>
      <c r="G1474" s="95">
        <v>51131</v>
      </c>
      <c r="H1474" s="95" t="s">
        <v>202</v>
      </c>
      <c r="I1474" s="95"/>
      <c r="J1474" s="95" t="s">
        <v>144</v>
      </c>
      <c r="K1474" s="95" t="b">
        <v>1</v>
      </c>
      <c r="L1474" s="95">
        <v>9</v>
      </c>
      <c r="M1474" s="96">
        <v>2034</v>
      </c>
      <c r="N1474" s="97">
        <v>0</v>
      </c>
      <c r="O1474" s="98">
        <v>46020</v>
      </c>
      <c r="P1474" s="98">
        <v>46020</v>
      </c>
      <c r="Q1474" s="99">
        <v>0</v>
      </c>
    </row>
    <row r="1475" spans="1:17">
      <c r="A1475" s="7">
        <v>2025</v>
      </c>
      <c r="B1475" s="8" t="s">
        <v>434</v>
      </c>
      <c r="C1475" s="94" t="s">
        <v>435</v>
      </c>
      <c r="D1475" s="95">
        <v>3215062</v>
      </c>
      <c r="E1475" s="95">
        <v>2</v>
      </c>
      <c r="F1475" s="95"/>
      <c r="G1475" s="95">
        <v>51131</v>
      </c>
      <c r="H1475" s="95" t="s">
        <v>202</v>
      </c>
      <c r="I1475" s="95"/>
      <c r="J1475" s="95" t="s">
        <v>144</v>
      </c>
      <c r="K1475" s="95" t="b">
        <v>1</v>
      </c>
      <c r="L1475" s="95">
        <v>2</v>
      </c>
      <c r="M1475" s="96">
        <v>2027</v>
      </c>
      <c r="N1475" s="97">
        <v>0</v>
      </c>
      <c r="O1475" s="98">
        <v>46020</v>
      </c>
      <c r="P1475" s="98">
        <v>46020</v>
      </c>
      <c r="Q1475" s="99">
        <v>0</v>
      </c>
    </row>
    <row r="1476" spans="1:17">
      <c r="A1476" s="7">
        <v>2025</v>
      </c>
      <c r="B1476" s="8" t="s">
        <v>434</v>
      </c>
      <c r="C1476" s="94" t="s">
        <v>435</v>
      </c>
      <c r="D1476" s="95">
        <v>3215062</v>
      </c>
      <c r="E1476" s="95">
        <v>2</v>
      </c>
      <c r="F1476" s="95"/>
      <c r="G1476" s="95">
        <v>51131</v>
      </c>
      <c r="H1476" s="95" t="s">
        <v>202</v>
      </c>
      <c r="I1476" s="95"/>
      <c r="J1476" s="95" t="s">
        <v>144</v>
      </c>
      <c r="K1476" s="95" t="b">
        <v>1</v>
      </c>
      <c r="L1476" s="95">
        <v>6</v>
      </c>
      <c r="M1476" s="96">
        <v>2031</v>
      </c>
      <c r="N1476" s="97">
        <v>0</v>
      </c>
      <c r="O1476" s="98">
        <v>46020</v>
      </c>
      <c r="P1476" s="98">
        <v>46020</v>
      </c>
      <c r="Q1476" s="99">
        <v>0</v>
      </c>
    </row>
    <row r="1477" spans="1:17">
      <c r="A1477" s="7">
        <v>2025</v>
      </c>
      <c r="B1477" s="8" t="s">
        <v>434</v>
      </c>
      <c r="C1477" s="94" t="s">
        <v>435</v>
      </c>
      <c r="D1477" s="95">
        <v>3215062</v>
      </c>
      <c r="E1477" s="95">
        <v>2</v>
      </c>
      <c r="F1477" s="95"/>
      <c r="G1477" s="95">
        <v>51120</v>
      </c>
      <c r="H1477" s="95" t="s">
        <v>100</v>
      </c>
      <c r="I1477" s="95"/>
      <c r="J1477" s="95" t="s">
        <v>142</v>
      </c>
      <c r="K1477" s="95" t="b">
        <v>1</v>
      </c>
      <c r="L1477" s="95">
        <v>9</v>
      </c>
      <c r="M1477" s="96">
        <v>2034</v>
      </c>
      <c r="N1477" s="97">
        <v>0</v>
      </c>
      <c r="O1477" s="98">
        <v>46020</v>
      </c>
      <c r="P1477" s="98">
        <v>46020</v>
      </c>
      <c r="Q1477" s="99">
        <v>0</v>
      </c>
    </row>
    <row r="1478" spans="1:17">
      <c r="A1478" s="7">
        <v>2025</v>
      </c>
      <c r="B1478" s="8" t="s">
        <v>434</v>
      </c>
      <c r="C1478" s="94" t="s">
        <v>435</v>
      </c>
      <c r="D1478" s="95">
        <v>3215062</v>
      </c>
      <c r="E1478" s="95">
        <v>2</v>
      </c>
      <c r="F1478" s="95"/>
      <c r="G1478" s="95">
        <v>51120</v>
      </c>
      <c r="H1478" s="95" t="s">
        <v>100</v>
      </c>
      <c r="I1478" s="95"/>
      <c r="J1478" s="95" t="s">
        <v>142</v>
      </c>
      <c r="K1478" s="95" t="b">
        <v>1</v>
      </c>
      <c r="L1478" s="95">
        <v>12</v>
      </c>
      <c r="M1478" s="96">
        <v>2037</v>
      </c>
      <c r="N1478" s="97">
        <v>0</v>
      </c>
      <c r="O1478" s="98">
        <v>46020</v>
      </c>
      <c r="P1478" s="98">
        <v>46020</v>
      </c>
      <c r="Q1478" s="99">
        <v>0</v>
      </c>
    </row>
    <row r="1479" spans="1:17">
      <c r="A1479" s="7">
        <v>2025</v>
      </c>
      <c r="B1479" s="8" t="s">
        <v>434</v>
      </c>
      <c r="C1479" s="94" t="s">
        <v>435</v>
      </c>
      <c r="D1479" s="95">
        <v>3215062</v>
      </c>
      <c r="E1479" s="95">
        <v>2</v>
      </c>
      <c r="F1479" s="95"/>
      <c r="G1479" s="95">
        <v>51120</v>
      </c>
      <c r="H1479" s="95" t="s">
        <v>100</v>
      </c>
      <c r="I1479" s="95"/>
      <c r="J1479" s="95" t="s">
        <v>142</v>
      </c>
      <c r="K1479" s="95" t="b">
        <v>1</v>
      </c>
      <c r="L1479" s="95">
        <v>1</v>
      </c>
      <c r="M1479" s="96">
        <v>2026</v>
      </c>
      <c r="N1479" s="97">
        <v>0</v>
      </c>
      <c r="O1479" s="98">
        <v>46020</v>
      </c>
      <c r="P1479" s="98">
        <v>46020</v>
      </c>
      <c r="Q1479" s="99">
        <v>0</v>
      </c>
    </row>
    <row r="1480" spans="1:17">
      <c r="A1480" s="7">
        <v>2025</v>
      </c>
      <c r="B1480" s="8" t="s">
        <v>434</v>
      </c>
      <c r="C1480" s="94" t="s">
        <v>435</v>
      </c>
      <c r="D1480" s="95">
        <v>3215062</v>
      </c>
      <c r="E1480" s="95">
        <v>2</v>
      </c>
      <c r="F1480" s="95"/>
      <c r="G1480" s="95">
        <v>51120</v>
      </c>
      <c r="H1480" s="95" t="s">
        <v>100</v>
      </c>
      <c r="I1480" s="95"/>
      <c r="J1480" s="95" t="s">
        <v>142</v>
      </c>
      <c r="K1480" s="95" t="b">
        <v>1</v>
      </c>
      <c r="L1480" s="95">
        <v>3</v>
      </c>
      <c r="M1480" s="96">
        <v>2028</v>
      </c>
      <c r="N1480" s="97">
        <v>0</v>
      </c>
      <c r="O1480" s="98">
        <v>46020</v>
      </c>
      <c r="P1480" s="98">
        <v>46020</v>
      </c>
      <c r="Q1480" s="99">
        <v>0</v>
      </c>
    </row>
    <row r="1481" spans="1:17">
      <c r="A1481" s="7">
        <v>2025</v>
      </c>
      <c r="B1481" s="8" t="s">
        <v>434</v>
      </c>
      <c r="C1481" s="94" t="s">
        <v>435</v>
      </c>
      <c r="D1481" s="95">
        <v>3215062</v>
      </c>
      <c r="E1481" s="95">
        <v>2</v>
      </c>
      <c r="F1481" s="95"/>
      <c r="G1481" s="95">
        <v>51120</v>
      </c>
      <c r="H1481" s="95" t="s">
        <v>100</v>
      </c>
      <c r="I1481" s="95"/>
      <c r="J1481" s="95" t="s">
        <v>142</v>
      </c>
      <c r="K1481" s="95" t="b">
        <v>1</v>
      </c>
      <c r="L1481" s="95">
        <v>7</v>
      </c>
      <c r="M1481" s="96">
        <v>2032</v>
      </c>
      <c r="N1481" s="97">
        <v>0</v>
      </c>
      <c r="O1481" s="98">
        <v>46020</v>
      </c>
      <c r="P1481" s="98">
        <v>46020</v>
      </c>
      <c r="Q1481" s="99">
        <v>0</v>
      </c>
    </row>
    <row r="1482" spans="1:17">
      <c r="A1482" s="7">
        <v>2025</v>
      </c>
      <c r="B1482" s="8" t="s">
        <v>434</v>
      </c>
      <c r="C1482" s="94" t="s">
        <v>435</v>
      </c>
      <c r="D1482" s="95">
        <v>3215062</v>
      </c>
      <c r="E1482" s="95">
        <v>2</v>
      </c>
      <c r="F1482" s="95"/>
      <c r="G1482" s="95">
        <v>51120</v>
      </c>
      <c r="H1482" s="95" t="s">
        <v>100</v>
      </c>
      <c r="I1482" s="95"/>
      <c r="J1482" s="95" t="s">
        <v>142</v>
      </c>
      <c r="K1482" s="95" t="b">
        <v>1</v>
      </c>
      <c r="L1482" s="95">
        <v>13</v>
      </c>
      <c r="M1482" s="96">
        <v>2038</v>
      </c>
      <c r="N1482" s="97">
        <v>0</v>
      </c>
      <c r="O1482" s="98">
        <v>46020</v>
      </c>
      <c r="P1482" s="98">
        <v>46020</v>
      </c>
      <c r="Q1482" s="99">
        <v>0</v>
      </c>
    </row>
    <row r="1483" spans="1:17">
      <c r="A1483" s="7">
        <v>2025</v>
      </c>
      <c r="B1483" s="8" t="s">
        <v>434</v>
      </c>
      <c r="C1483" s="94" t="s">
        <v>435</v>
      </c>
      <c r="D1483" s="95">
        <v>3215062</v>
      </c>
      <c r="E1483" s="95">
        <v>2</v>
      </c>
      <c r="F1483" s="95"/>
      <c r="G1483" s="95">
        <v>51120</v>
      </c>
      <c r="H1483" s="95" t="s">
        <v>100</v>
      </c>
      <c r="I1483" s="95"/>
      <c r="J1483" s="95" t="s">
        <v>142</v>
      </c>
      <c r="K1483" s="95" t="b">
        <v>1</v>
      </c>
      <c r="L1483" s="95">
        <v>5</v>
      </c>
      <c r="M1483" s="96">
        <v>2030</v>
      </c>
      <c r="N1483" s="97">
        <v>0</v>
      </c>
      <c r="O1483" s="98">
        <v>46020</v>
      </c>
      <c r="P1483" s="98">
        <v>46020</v>
      </c>
      <c r="Q1483" s="99">
        <v>0</v>
      </c>
    </row>
    <row r="1484" spans="1:17">
      <c r="A1484" s="7">
        <v>2025</v>
      </c>
      <c r="B1484" s="8" t="s">
        <v>434</v>
      </c>
      <c r="C1484" s="94" t="s">
        <v>435</v>
      </c>
      <c r="D1484" s="95">
        <v>3215062</v>
      </c>
      <c r="E1484" s="95">
        <v>2</v>
      </c>
      <c r="F1484" s="95"/>
      <c r="G1484" s="95">
        <v>51120</v>
      </c>
      <c r="H1484" s="95" t="s">
        <v>100</v>
      </c>
      <c r="I1484" s="95"/>
      <c r="J1484" s="95" t="s">
        <v>142</v>
      </c>
      <c r="K1484" s="95" t="b">
        <v>1</v>
      </c>
      <c r="L1484" s="95">
        <v>6</v>
      </c>
      <c r="M1484" s="96">
        <v>2031</v>
      </c>
      <c r="N1484" s="97">
        <v>0</v>
      </c>
      <c r="O1484" s="98">
        <v>46020</v>
      </c>
      <c r="P1484" s="98">
        <v>46020</v>
      </c>
      <c r="Q1484" s="99">
        <v>0</v>
      </c>
    </row>
    <row r="1485" spans="1:17">
      <c r="A1485" s="7">
        <v>2025</v>
      </c>
      <c r="B1485" s="8" t="s">
        <v>434</v>
      </c>
      <c r="C1485" s="94" t="s">
        <v>435</v>
      </c>
      <c r="D1485" s="95">
        <v>3215062</v>
      </c>
      <c r="E1485" s="95">
        <v>2</v>
      </c>
      <c r="F1485" s="95"/>
      <c r="G1485" s="95">
        <v>51120</v>
      </c>
      <c r="H1485" s="95" t="s">
        <v>100</v>
      </c>
      <c r="I1485" s="95"/>
      <c r="J1485" s="95" t="s">
        <v>142</v>
      </c>
      <c r="K1485" s="95" t="b">
        <v>1</v>
      </c>
      <c r="L1485" s="95">
        <v>4</v>
      </c>
      <c r="M1485" s="96">
        <v>2029</v>
      </c>
      <c r="N1485" s="97">
        <v>0</v>
      </c>
      <c r="O1485" s="98">
        <v>46020</v>
      </c>
      <c r="P1485" s="98">
        <v>46020</v>
      </c>
      <c r="Q1485" s="99">
        <v>0</v>
      </c>
    </row>
    <row r="1486" spans="1:17">
      <c r="A1486" s="7">
        <v>2025</v>
      </c>
      <c r="B1486" s="8" t="s">
        <v>434</v>
      </c>
      <c r="C1486" s="94" t="s">
        <v>435</v>
      </c>
      <c r="D1486" s="95">
        <v>3215062</v>
      </c>
      <c r="E1486" s="95">
        <v>2</v>
      </c>
      <c r="F1486" s="95"/>
      <c r="G1486" s="95">
        <v>51120</v>
      </c>
      <c r="H1486" s="95" t="s">
        <v>100</v>
      </c>
      <c r="I1486" s="95"/>
      <c r="J1486" s="95" t="s">
        <v>142</v>
      </c>
      <c r="K1486" s="95" t="b">
        <v>1</v>
      </c>
      <c r="L1486" s="95">
        <v>2</v>
      </c>
      <c r="M1486" s="96">
        <v>2027</v>
      </c>
      <c r="N1486" s="97">
        <v>0</v>
      </c>
      <c r="O1486" s="98">
        <v>46020</v>
      </c>
      <c r="P1486" s="98">
        <v>46020</v>
      </c>
      <c r="Q1486" s="99">
        <v>0</v>
      </c>
    </row>
    <row r="1487" spans="1:17">
      <c r="A1487" s="7">
        <v>2025</v>
      </c>
      <c r="B1487" s="8" t="s">
        <v>434</v>
      </c>
      <c r="C1487" s="94" t="s">
        <v>435</v>
      </c>
      <c r="D1487" s="95">
        <v>3215062</v>
      </c>
      <c r="E1487" s="95">
        <v>2</v>
      </c>
      <c r="F1487" s="95"/>
      <c r="G1487" s="95">
        <v>51120</v>
      </c>
      <c r="H1487" s="95" t="s">
        <v>100</v>
      </c>
      <c r="I1487" s="95"/>
      <c r="J1487" s="95" t="s">
        <v>142</v>
      </c>
      <c r="K1487" s="95" t="b">
        <v>1</v>
      </c>
      <c r="L1487" s="95">
        <v>8</v>
      </c>
      <c r="M1487" s="96">
        <v>2033</v>
      </c>
      <c r="N1487" s="97">
        <v>0</v>
      </c>
      <c r="O1487" s="98">
        <v>46020</v>
      </c>
      <c r="P1487" s="98">
        <v>46020</v>
      </c>
      <c r="Q1487" s="99">
        <v>0</v>
      </c>
    </row>
    <row r="1488" spans="1:17">
      <c r="A1488" s="7">
        <v>2025</v>
      </c>
      <c r="B1488" s="8" t="s">
        <v>434</v>
      </c>
      <c r="C1488" s="94" t="s">
        <v>435</v>
      </c>
      <c r="D1488" s="95">
        <v>3215062</v>
      </c>
      <c r="E1488" s="95">
        <v>2</v>
      </c>
      <c r="F1488" s="95"/>
      <c r="G1488" s="95">
        <v>51120</v>
      </c>
      <c r="H1488" s="95" t="s">
        <v>100</v>
      </c>
      <c r="I1488" s="95"/>
      <c r="J1488" s="95" t="s">
        <v>142</v>
      </c>
      <c r="K1488" s="95" t="b">
        <v>1</v>
      </c>
      <c r="L1488" s="95">
        <v>0</v>
      </c>
      <c r="M1488" s="96">
        <v>2025</v>
      </c>
      <c r="N1488" s="97">
        <v>0</v>
      </c>
      <c r="O1488" s="98">
        <v>46020</v>
      </c>
      <c r="P1488" s="98">
        <v>46020</v>
      </c>
      <c r="Q1488" s="99">
        <v>0</v>
      </c>
    </row>
    <row r="1489" spans="1:17">
      <c r="A1489" s="7">
        <v>2025</v>
      </c>
      <c r="B1489" s="8" t="s">
        <v>434</v>
      </c>
      <c r="C1489" s="94" t="s">
        <v>435</v>
      </c>
      <c r="D1489" s="95">
        <v>3215062</v>
      </c>
      <c r="E1489" s="95">
        <v>2</v>
      </c>
      <c r="F1489" s="95"/>
      <c r="G1489" s="95">
        <v>51120</v>
      </c>
      <c r="H1489" s="95" t="s">
        <v>100</v>
      </c>
      <c r="I1489" s="95"/>
      <c r="J1489" s="95" t="s">
        <v>142</v>
      </c>
      <c r="K1489" s="95" t="b">
        <v>1</v>
      </c>
      <c r="L1489" s="95">
        <v>10</v>
      </c>
      <c r="M1489" s="96">
        <v>2035</v>
      </c>
      <c r="N1489" s="97">
        <v>0</v>
      </c>
      <c r="O1489" s="98">
        <v>46020</v>
      </c>
      <c r="P1489" s="98">
        <v>46020</v>
      </c>
      <c r="Q1489" s="99">
        <v>0</v>
      </c>
    </row>
    <row r="1490" spans="1:17">
      <c r="A1490" s="7">
        <v>2025</v>
      </c>
      <c r="B1490" s="8" t="s">
        <v>434</v>
      </c>
      <c r="C1490" s="94" t="s">
        <v>435</v>
      </c>
      <c r="D1490" s="95">
        <v>3215062</v>
      </c>
      <c r="E1490" s="95">
        <v>2</v>
      </c>
      <c r="F1490" s="95"/>
      <c r="G1490" s="95">
        <v>51120</v>
      </c>
      <c r="H1490" s="95" t="s">
        <v>100</v>
      </c>
      <c r="I1490" s="95"/>
      <c r="J1490" s="95" t="s">
        <v>142</v>
      </c>
      <c r="K1490" s="95" t="b">
        <v>1</v>
      </c>
      <c r="L1490" s="95">
        <v>11</v>
      </c>
      <c r="M1490" s="96">
        <v>2036</v>
      </c>
      <c r="N1490" s="97">
        <v>0</v>
      </c>
      <c r="O1490" s="98">
        <v>46020</v>
      </c>
      <c r="P1490" s="98">
        <v>46020</v>
      </c>
      <c r="Q1490" s="99">
        <v>0</v>
      </c>
    </row>
    <row r="1491" spans="1:17">
      <c r="A1491" s="7">
        <v>2025</v>
      </c>
      <c r="B1491" s="8" t="s">
        <v>434</v>
      </c>
      <c r="C1491" s="94" t="s">
        <v>435</v>
      </c>
      <c r="D1491" s="95">
        <v>3215062</v>
      </c>
      <c r="E1491" s="95">
        <v>2</v>
      </c>
      <c r="F1491" s="95"/>
      <c r="G1491" s="95">
        <v>43100</v>
      </c>
      <c r="H1491" s="95" t="s">
        <v>40</v>
      </c>
      <c r="I1491" s="95"/>
      <c r="J1491" s="95" t="s">
        <v>135</v>
      </c>
      <c r="K1491" s="95" t="b">
        <v>1</v>
      </c>
      <c r="L1491" s="95">
        <v>4</v>
      </c>
      <c r="M1491" s="96">
        <v>2029</v>
      </c>
      <c r="N1491" s="97">
        <v>0</v>
      </c>
      <c r="O1491" s="98">
        <v>46020</v>
      </c>
      <c r="P1491" s="98">
        <v>46020</v>
      </c>
      <c r="Q1491" s="99">
        <v>0</v>
      </c>
    </row>
    <row r="1492" spans="1:17">
      <c r="A1492" s="7">
        <v>2025</v>
      </c>
      <c r="B1492" s="8" t="s">
        <v>434</v>
      </c>
      <c r="C1492" s="94" t="s">
        <v>435</v>
      </c>
      <c r="D1492" s="95">
        <v>3215062</v>
      </c>
      <c r="E1492" s="95">
        <v>2</v>
      </c>
      <c r="F1492" s="95"/>
      <c r="G1492" s="95">
        <v>43100</v>
      </c>
      <c r="H1492" s="95" t="s">
        <v>40</v>
      </c>
      <c r="I1492" s="95"/>
      <c r="J1492" s="95" t="s">
        <v>135</v>
      </c>
      <c r="K1492" s="95" t="b">
        <v>1</v>
      </c>
      <c r="L1492" s="95">
        <v>2</v>
      </c>
      <c r="M1492" s="96">
        <v>2027</v>
      </c>
      <c r="N1492" s="97">
        <v>0</v>
      </c>
      <c r="O1492" s="98">
        <v>46020</v>
      </c>
      <c r="P1492" s="98">
        <v>46020</v>
      </c>
      <c r="Q1492" s="99">
        <v>0</v>
      </c>
    </row>
    <row r="1493" spans="1:17">
      <c r="A1493" s="7">
        <v>2025</v>
      </c>
      <c r="B1493" s="8" t="s">
        <v>434</v>
      </c>
      <c r="C1493" s="94" t="s">
        <v>435</v>
      </c>
      <c r="D1493" s="95">
        <v>3215062</v>
      </c>
      <c r="E1493" s="95">
        <v>2</v>
      </c>
      <c r="F1493" s="95"/>
      <c r="G1493" s="95">
        <v>43100</v>
      </c>
      <c r="H1493" s="95" t="s">
        <v>40</v>
      </c>
      <c r="I1493" s="95"/>
      <c r="J1493" s="95" t="s">
        <v>135</v>
      </c>
      <c r="K1493" s="95" t="b">
        <v>1</v>
      </c>
      <c r="L1493" s="95">
        <v>6</v>
      </c>
      <c r="M1493" s="96">
        <v>2031</v>
      </c>
      <c r="N1493" s="97">
        <v>0</v>
      </c>
      <c r="O1493" s="98">
        <v>46020</v>
      </c>
      <c r="P1493" s="98">
        <v>46020</v>
      </c>
      <c r="Q1493" s="99">
        <v>0</v>
      </c>
    </row>
    <row r="1494" spans="1:17">
      <c r="A1494" s="7">
        <v>2025</v>
      </c>
      <c r="B1494" s="8" t="s">
        <v>434</v>
      </c>
      <c r="C1494" s="94" t="s">
        <v>435</v>
      </c>
      <c r="D1494" s="95">
        <v>3215062</v>
      </c>
      <c r="E1494" s="95">
        <v>2</v>
      </c>
      <c r="F1494" s="95"/>
      <c r="G1494" s="95">
        <v>43100</v>
      </c>
      <c r="H1494" s="95" t="s">
        <v>40</v>
      </c>
      <c r="I1494" s="95"/>
      <c r="J1494" s="95" t="s">
        <v>135</v>
      </c>
      <c r="K1494" s="95" t="b">
        <v>1</v>
      </c>
      <c r="L1494" s="95">
        <v>8</v>
      </c>
      <c r="M1494" s="96">
        <v>2033</v>
      </c>
      <c r="N1494" s="97">
        <v>0</v>
      </c>
      <c r="O1494" s="98">
        <v>46020</v>
      </c>
      <c r="P1494" s="98">
        <v>46020</v>
      </c>
      <c r="Q1494" s="99">
        <v>0</v>
      </c>
    </row>
    <row r="1495" spans="1:17">
      <c r="A1495" s="7">
        <v>2025</v>
      </c>
      <c r="B1495" s="8" t="s">
        <v>434</v>
      </c>
      <c r="C1495" s="94" t="s">
        <v>435</v>
      </c>
      <c r="D1495" s="95">
        <v>3215062</v>
      </c>
      <c r="E1495" s="95">
        <v>2</v>
      </c>
      <c r="F1495" s="95"/>
      <c r="G1495" s="95">
        <v>43100</v>
      </c>
      <c r="H1495" s="95" t="s">
        <v>40</v>
      </c>
      <c r="I1495" s="95"/>
      <c r="J1495" s="95" t="s">
        <v>135</v>
      </c>
      <c r="K1495" s="95" t="b">
        <v>1</v>
      </c>
      <c r="L1495" s="95">
        <v>7</v>
      </c>
      <c r="M1495" s="96">
        <v>2032</v>
      </c>
      <c r="N1495" s="97">
        <v>0</v>
      </c>
      <c r="O1495" s="98">
        <v>46020</v>
      </c>
      <c r="P1495" s="98">
        <v>46020</v>
      </c>
      <c r="Q1495" s="99">
        <v>0</v>
      </c>
    </row>
    <row r="1496" spans="1:17">
      <c r="A1496" s="7">
        <v>2025</v>
      </c>
      <c r="B1496" s="8" t="s">
        <v>434</v>
      </c>
      <c r="C1496" s="94" t="s">
        <v>435</v>
      </c>
      <c r="D1496" s="95">
        <v>3215062</v>
      </c>
      <c r="E1496" s="95">
        <v>2</v>
      </c>
      <c r="F1496" s="95"/>
      <c r="G1496" s="95">
        <v>43100</v>
      </c>
      <c r="H1496" s="95" t="s">
        <v>40</v>
      </c>
      <c r="I1496" s="95"/>
      <c r="J1496" s="95" t="s">
        <v>135</v>
      </c>
      <c r="K1496" s="95" t="b">
        <v>1</v>
      </c>
      <c r="L1496" s="95">
        <v>10</v>
      </c>
      <c r="M1496" s="96">
        <v>2035</v>
      </c>
      <c r="N1496" s="97">
        <v>0</v>
      </c>
      <c r="O1496" s="98">
        <v>46020</v>
      </c>
      <c r="P1496" s="98">
        <v>46020</v>
      </c>
      <c r="Q1496" s="99">
        <v>0</v>
      </c>
    </row>
    <row r="1497" spans="1:17">
      <c r="A1497" s="7">
        <v>2025</v>
      </c>
      <c r="B1497" s="8" t="s">
        <v>434</v>
      </c>
      <c r="C1497" s="94" t="s">
        <v>435</v>
      </c>
      <c r="D1497" s="95">
        <v>3215062</v>
      </c>
      <c r="E1497" s="95">
        <v>2</v>
      </c>
      <c r="F1497" s="95"/>
      <c r="G1497" s="95">
        <v>43100</v>
      </c>
      <c r="H1497" s="95" t="s">
        <v>40</v>
      </c>
      <c r="I1497" s="95"/>
      <c r="J1497" s="95" t="s">
        <v>135</v>
      </c>
      <c r="K1497" s="95" t="b">
        <v>1</v>
      </c>
      <c r="L1497" s="95">
        <v>0</v>
      </c>
      <c r="M1497" s="96">
        <v>2025</v>
      </c>
      <c r="N1497" s="97">
        <v>2293309.4500000002</v>
      </c>
      <c r="O1497" s="98">
        <v>46020</v>
      </c>
      <c r="P1497" s="98">
        <v>46020</v>
      </c>
      <c r="Q1497" s="99">
        <v>0</v>
      </c>
    </row>
    <row r="1498" spans="1:17">
      <c r="A1498" s="7">
        <v>2025</v>
      </c>
      <c r="B1498" s="8" t="s">
        <v>434</v>
      </c>
      <c r="C1498" s="94" t="s">
        <v>435</v>
      </c>
      <c r="D1498" s="95">
        <v>3215062</v>
      </c>
      <c r="E1498" s="95">
        <v>2</v>
      </c>
      <c r="F1498" s="95"/>
      <c r="G1498" s="95">
        <v>43100</v>
      </c>
      <c r="H1498" s="95" t="s">
        <v>40</v>
      </c>
      <c r="I1498" s="95"/>
      <c r="J1498" s="95" t="s">
        <v>135</v>
      </c>
      <c r="K1498" s="95" t="b">
        <v>1</v>
      </c>
      <c r="L1498" s="95">
        <v>11</v>
      </c>
      <c r="M1498" s="96">
        <v>2036</v>
      </c>
      <c r="N1498" s="97">
        <v>0</v>
      </c>
      <c r="O1498" s="98">
        <v>46020</v>
      </c>
      <c r="P1498" s="98">
        <v>46020</v>
      </c>
      <c r="Q1498" s="99">
        <v>0</v>
      </c>
    </row>
    <row r="1499" spans="1:17">
      <c r="A1499" s="7">
        <v>2025</v>
      </c>
      <c r="B1499" s="8" t="s">
        <v>434</v>
      </c>
      <c r="C1499" s="94" t="s">
        <v>435</v>
      </c>
      <c r="D1499" s="95">
        <v>3215062</v>
      </c>
      <c r="E1499" s="95">
        <v>2</v>
      </c>
      <c r="F1499" s="95"/>
      <c r="G1499" s="95">
        <v>43100</v>
      </c>
      <c r="H1499" s="95" t="s">
        <v>40</v>
      </c>
      <c r="I1499" s="95"/>
      <c r="J1499" s="95" t="s">
        <v>135</v>
      </c>
      <c r="K1499" s="95" t="b">
        <v>1</v>
      </c>
      <c r="L1499" s="95">
        <v>12</v>
      </c>
      <c r="M1499" s="96">
        <v>2037</v>
      </c>
      <c r="N1499" s="97">
        <v>0</v>
      </c>
      <c r="O1499" s="98">
        <v>46020</v>
      </c>
      <c r="P1499" s="98">
        <v>46020</v>
      </c>
      <c r="Q1499" s="99">
        <v>0</v>
      </c>
    </row>
    <row r="1500" spans="1:17">
      <c r="A1500" s="7">
        <v>2025</v>
      </c>
      <c r="B1500" s="8" t="s">
        <v>434</v>
      </c>
      <c r="C1500" s="94" t="s">
        <v>435</v>
      </c>
      <c r="D1500" s="95">
        <v>3215062</v>
      </c>
      <c r="E1500" s="95">
        <v>2</v>
      </c>
      <c r="F1500" s="95"/>
      <c r="G1500" s="95">
        <v>43100</v>
      </c>
      <c r="H1500" s="95" t="s">
        <v>40</v>
      </c>
      <c r="I1500" s="95"/>
      <c r="J1500" s="95" t="s">
        <v>135</v>
      </c>
      <c r="K1500" s="95" t="b">
        <v>1</v>
      </c>
      <c r="L1500" s="95">
        <v>3</v>
      </c>
      <c r="M1500" s="96">
        <v>2028</v>
      </c>
      <c r="N1500" s="97">
        <v>0</v>
      </c>
      <c r="O1500" s="98">
        <v>46020</v>
      </c>
      <c r="P1500" s="98">
        <v>46020</v>
      </c>
      <c r="Q1500" s="99">
        <v>0</v>
      </c>
    </row>
    <row r="1501" spans="1:17">
      <c r="A1501" s="7">
        <v>2025</v>
      </c>
      <c r="B1501" s="8" t="s">
        <v>434</v>
      </c>
      <c r="C1501" s="94" t="s">
        <v>435</v>
      </c>
      <c r="D1501" s="95">
        <v>3215062</v>
      </c>
      <c r="E1501" s="95">
        <v>2</v>
      </c>
      <c r="F1501" s="95"/>
      <c r="G1501" s="95">
        <v>43100</v>
      </c>
      <c r="H1501" s="95" t="s">
        <v>40</v>
      </c>
      <c r="I1501" s="95"/>
      <c r="J1501" s="95" t="s">
        <v>135</v>
      </c>
      <c r="K1501" s="95" t="b">
        <v>1</v>
      </c>
      <c r="L1501" s="95">
        <v>1</v>
      </c>
      <c r="M1501" s="96">
        <v>2026</v>
      </c>
      <c r="N1501" s="97">
        <v>0</v>
      </c>
      <c r="O1501" s="98">
        <v>46020</v>
      </c>
      <c r="P1501" s="98">
        <v>46020</v>
      </c>
      <c r="Q1501" s="99">
        <v>0</v>
      </c>
    </row>
    <row r="1502" spans="1:17">
      <c r="A1502" s="7">
        <v>2025</v>
      </c>
      <c r="B1502" s="8" t="s">
        <v>434</v>
      </c>
      <c r="C1502" s="94" t="s">
        <v>435</v>
      </c>
      <c r="D1502" s="95">
        <v>3215062</v>
      </c>
      <c r="E1502" s="95">
        <v>2</v>
      </c>
      <c r="F1502" s="95"/>
      <c r="G1502" s="95">
        <v>43100</v>
      </c>
      <c r="H1502" s="95" t="s">
        <v>40</v>
      </c>
      <c r="I1502" s="95"/>
      <c r="J1502" s="95" t="s">
        <v>135</v>
      </c>
      <c r="K1502" s="95" t="b">
        <v>1</v>
      </c>
      <c r="L1502" s="95">
        <v>13</v>
      </c>
      <c r="M1502" s="96">
        <v>2038</v>
      </c>
      <c r="N1502" s="97">
        <v>0</v>
      </c>
      <c r="O1502" s="98">
        <v>46020</v>
      </c>
      <c r="P1502" s="98">
        <v>46020</v>
      </c>
      <c r="Q1502" s="99">
        <v>0</v>
      </c>
    </row>
    <row r="1503" spans="1:17">
      <c r="A1503" s="7">
        <v>2025</v>
      </c>
      <c r="B1503" s="8" t="s">
        <v>434</v>
      </c>
      <c r="C1503" s="94" t="s">
        <v>435</v>
      </c>
      <c r="D1503" s="95">
        <v>3215062</v>
      </c>
      <c r="E1503" s="95">
        <v>2</v>
      </c>
      <c r="F1503" s="95"/>
      <c r="G1503" s="95">
        <v>43100</v>
      </c>
      <c r="H1503" s="95" t="s">
        <v>40</v>
      </c>
      <c r="I1503" s="95"/>
      <c r="J1503" s="95" t="s">
        <v>135</v>
      </c>
      <c r="K1503" s="95" t="b">
        <v>1</v>
      </c>
      <c r="L1503" s="95">
        <v>9</v>
      </c>
      <c r="M1503" s="96">
        <v>2034</v>
      </c>
      <c r="N1503" s="97">
        <v>0</v>
      </c>
      <c r="O1503" s="98">
        <v>46020</v>
      </c>
      <c r="P1503" s="98">
        <v>46020</v>
      </c>
      <c r="Q1503" s="99">
        <v>0</v>
      </c>
    </row>
    <row r="1504" spans="1:17">
      <c r="A1504" s="7">
        <v>2025</v>
      </c>
      <c r="B1504" s="8" t="s">
        <v>434</v>
      </c>
      <c r="C1504" s="94" t="s">
        <v>435</v>
      </c>
      <c r="D1504" s="95">
        <v>3215062</v>
      </c>
      <c r="E1504" s="95">
        <v>2</v>
      </c>
      <c r="F1504" s="95"/>
      <c r="G1504" s="95">
        <v>43100</v>
      </c>
      <c r="H1504" s="95" t="s">
        <v>40</v>
      </c>
      <c r="I1504" s="95"/>
      <c r="J1504" s="95" t="s">
        <v>135</v>
      </c>
      <c r="K1504" s="95" t="b">
        <v>1</v>
      </c>
      <c r="L1504" s="95">
        <v>5</v>
      </c>
      <c r="M1504" s="96">
        <v>2030</v>
      </c>
      <c r="N1504" s="97">
        <v>0</v>
      </c>
      <c r="O1504" s="98">
        <v>46020</v>
      </c>
      <c r="P1504" s="98">
        <v>46020</v>
      </c>
      <c r="Q1504" s="99">
        <v>0</v>
      </c>
    </row>
    <row r="1505" spans="1:17">
      <c r="A1505" s="7">
        <v>2025</v>
      </c>
      <c r="B1505" s="8" t="s">
        <v>434</v>
      </c>
      <c r="C1505" s="94" t="s">
        <v>435</v>
      </c>
      <c r="D1505" s="95">
        <v>3215062</v>
      </c>
      <c r="E1505" s="95">
        <v>2</v>
      </c>
      <c r="F1505" s="95"/>
      <c r="G1505" s="95">
        <v>107200</v>
      </c>
      <c r="H1505" s="95" t="s">
        <v>222</v>
      </c>
      <c r="I1505" s="95"/>
      <c r="J1505" s="95" t="s">
        <v>183</v>
      </c>
      <c r="K1505" s="95" t="b">
        <v>1</v>
      </c>
      <c r="L1505" s="95">
        <v>2</v>
      </c>
      <c r="M1505" s="96">
        <v>2027</v>
      </c>
      <c r="N1505" s="97">
        <v>0</v>
      </c>
      <c r="O1505" s="98">
        <v>46020</v>
      </c>
      <c r="P1505" s="98">
        <v>46020</v>
      </c>
      <c r="Q1505" s="99">
        <v>0</v>
      </c>
    </row>
    <row r="1506" spans="1:17">
      <c r="A1506" s="7">
        <v>2025</v>
      </c>
      <c r="B1506" s="8" t="s">
        <v>434</v>
      </c>
      <c r="C1506" s="94" t="s">
        <v>435</v>
      </c>
      <c r="D1506" s="95">
        <v>3215062</v>
      </c>
      <c r="E1506" s="95">
        <v>2</v>
      </c>
      <c r="F1506" s="95"/>
      <c r="G1506" s="95">
        <v>107200</v>
      </c>
      <c r="H1506" s="95" t="s">
        <v>222</v>
      </c>
      <c r="I1506" s="95"/>
      <c r="J1506" s="95" t="s">
        <v>183</v>
      </c>
      <c r="K1506" s="95" t="b">
        <v>1</v>
      </c>
      <c r="L1506" s="95">
        <v>5</v>
      </c>
      <c r="M1506" s="96">
        <v>2030</v>
      </c>
      <c r="N1506" s="97">
        <v>0</v>
      </c>
      <c r="O1506" s="98">
        <v>46020</v>
      </c>
      <c r="P1506" s="98">
        <v>46020</v>
      </c>
      <c r="Q1506" s="99">
        <v>0</v>
      </c>
    </row>
    <row r="1507" spans="1:17">
      <c r="A1507" s="7">
        <v>2025</v>
      </c>
      <c r="B1507" s="8" t="s">
        <v>434</v>
      </c>
      <c r="C1507" s="94" t="s">
        <v>435</v>
      </c>
      <c r="D1507" s="95">
        <v>3215062</v>
      </c>
      <c r="E1507" s="95">
        <v>2</v>
      </c>
      <c r="F1507" s="95"/>
      <c r="G1507" s="95">
        <v>107200</v>
      </c>
      <c r="H1507" s="95" t="s">
        <v>222</v>
      </c>
      <c r="I1507" s="95"/>
      <c r="J1507" s="95" t="s">
        <v>183</v>
      </c>
      <c r="K1507" s="95" t="b">
        <v>1</v>
      </c>
      <c r="L1507" s="95">
        <v>9</v>
      </c>
      <c r="M1507" s="96">
        <v>2034</v>
      </c>
      <c r="N1507" s="97">
        <v>0</v>
      </c>
      <c r="O1507" s="98">
        <v>46020</v>
      </c>
      <c r="P1507" s="98">
        <v>46020</v>
      </c>
      <c r="Q1507" s="99">
        <v>0</v>
      </c>
    </row>
    <row r="1508" spans="1:17">
      <c r="A1508" s="7">
        <v>2025</v>
      </c>
      <c r="B1508" s="8" t="s">
        <v>434</v>
      </c>
      <c r="C1508" s="94" t="s">
        <v>435</v>
      </c>
      <c r="D1508" s="95">
        <v>3215062</v>
      </c>
      <c r="E1508" s="95">
        <v>2</v>
      </c>
      <c r="F1508" s="95"/>
      <c r="G1508" s="95">
        <v>107200</v>
      </c>
      <c r="H1508" s="95" t="s">
        <v>222</v>
      </c>
      <c r="I1508" s="95"/>
      <c r="J1508" s="95" t="s">
        <v>183</v>
      </c>
      <c r="K1508" s="95" t="b">
        <v>1</v>
      </c>
      <c r="L1508" s="95">
        <v>8</v>
      </c>
      <c r="M1508" s="96">
        <v>2033</v>
      </c>
      <c r="N1508" s="97">
        <v>0</v>
      </c>
      <c r="O1508" s="98">
        <v>46020</v>
      </c>
      <c r="P1508" s="98">
        <v>46020</v>
      </c>
      <c r="Q1508" s="99">
        <v>0</v>
      </c>
    </row>
    <row r="1509" spans="1:17">
      <c r="A1509" s="7">
        <v>2025</v>
      </c>
      <c r="B1509" s="8" t="s">
        <v>434</v>
      </c>
      <c r="C1509" s="94" t="s">
        <v>435</v>
      </c>
      <c r="D1509" s="95">
        <v>3215062</v>
      </c>
      <c r="E1509" s="95">
        <v>2</v>
      </c>
      <c r="F1509" s="95"/>
      <c r="G1509" s="95">
        <v>107200</v>
      </c>
      <c r="H1509" s="95" t="s">
        <v>222</v>
      </c>
      <c r="I1509" s="95"/>
      <c r="J1509" s="95" t="s">
        <v>183</v>
      </c>
      <c r="K1509" s="95" t="b">
        <v>1</v>
      </c>
      <c r="L1509" s="95">
        <v>10</v>
      </c>
      <c r="M1509" s="96">
        <v>2035</v>
      </c>
      <c r="N1509" s="97">
        <v>0</v>
      </c>
      <c r="O1509" s="98">
        <v>46020</v>
      </c>
      <c r="P1509" s="98">
        <v>46020</v>
      </c>
      <c r="Q1509" s="99">
        <v>0</v>
      </c>
    </row>
    <row r="1510" spans="1:17">
      <c r="A1510" s="7">
        <v>2025</v>
      </c>
      <c r="B1510" s="8" t="s">
        <v>434</v>
      </c>
      <c r="C1510" s="94" t="s">
        <v>435</v>
      </c>
      <c r="D1510" s="95">
        <v>3215062</v>
      </c>
      <c r="E1510" s="95">
        <v>2</v>
      </c>
      <c r="F1510" s="95"/>
      <c r="G1510" s="95">
        <v>107200</v>
      </c>
      <c r="H1510" s="95" t="s">
        <v>222</v>
      </c>
      <c r="I1510" s="95"/>
      <c r="J1510" s="95" t="s">
        <v>183</v>
      </c>
      <c r="K1510" s="95" t="b">
        <v>1</v>
      </c>
      <c r="L1510" s="95">
        <v>7</v>
      </c>
      <c r="M1510" s="96">
        <v>2032</v>
      </c>
      <c r="N1510" s="97">
        <v>0</v>
      </c>
      <c r="O1510" s="98">
        <v>46020</v>
      </c>
      <c r="P1510" s="98">
        <v>46020</v>
      </c>
      <c r="Q1510" s="99">
        <v>0</v>
      </c>
    </row>
    <row r="1511" spans="1:17">
      <c r="A1511" s="7">
        <v>2025</v>
      </c>
      <c r="B1511" s="8" t="s">
        <v>434</v>
      </c>
      <c r="C1511" s="94" t="s">
        <v>435</v>
      </c>
      <c r="D1511" s="95">
        <v>3215062</v>
      </c>
      <c r="E1511" s="95">
        <v>2</v>
      </c>
      <c r="F1511" s="95"/>
      <c r="G1511" s="95">
        <v>107200</v>
      </c>
      <c r="H1511" s="95" t="s">
        <v>222</v>
      </c>
      <c r="I1511" s="95"/>
      <c r="J1511" s="95" t="s">
        <v>183</v>
      </c>
      <c r="K1511" s="95" t="b">
        <v>1</v>
      </c>
      <c r="L1511" s="95">
        <v>11</v>
      </c>
      <c r="M1511" s="96">
        <v>2036</v>
      </c>
      <c r="N1511" s="97">
        <v>0</v>
      </c>
      <c r="O1511" s="98">
        <v>46020</v>
      </c>
      <c r="P1511" s="98">
        <v>46020</v>
      </c>
      <c r="Q1511" s="99">
        <v>0</v>
      </c>
    </row>
    <row r="1512" spans="1:17">
      <c r="A1512" s="7">
        <v>2025</v>
      </c>
      <c r="B1512" s="8" t="s">
        <v>434</v>
      </c>
      <c r="C1512" s="94" t="s">
        <v>435</v>
      </c>
      <c r="D1512" s="95">
        <v>3215062</v>
      </c>
      <c r="E1512" s="95">
        <v>2</v>
      </c>
      <c r="F1512" s="95"/>
      <c r="G1512" s="95">
        <v>107200</v>
      </c>
      <c r="H1512" s="95" t="s">
        <v>222</v>
      </c>
      <c r="I1512" s="95"/>
      <c r="J1512" s="95" t="s">
        <v>183</v>
      </c>
      <c r="K1512" s="95" t="b">
        <v>1</v>
      </c>
      <c r="L1512" s="95">
        <v>1</v>
      </c>
      <c r="M1512" s="96">
        <v>2026</v>
      </c>
      <c r="N1512" s="97">
        <v>0</v>
      </c>
      <c r="O1512" s="98">
        <v>46020</v>
      </c>
      <c r="P1512" s="98">
        <v>46020</v>
      </c>
      <c r="Q1512" s="99">
        <v>0</v>
      </c>
    </row>
    <row r="1513" spans="1:17">
      <c r="A1513" s="7">
        <v>2025</v>
      </c>
      <c r="B1513" s="8" t="s">
        <v>434</v>
      </c>
      <c r="C1513" s="94" t="s">
        <v>435</v>
      </c>
      <c r="D1513" s="95">
        <v>3215062</v>
      </c>
      <c r="E1513" s="95">
        <v>2</v>
      </c>
      <c r="F1513" s="95"/>
      <c r="G1513" s="95">
        <v>107200</v>
      </c>
      <c r="H1513" s="95" t="s">
        <v>222</v>
      </c>
      <c r="I1513" s="95"/>
      <c r="J1513" s="95" t="s">
        <v>183</v>
      </c>
      <c r="K1513" s="95" t="b">
        <v>1</v>
      </c>
      <c r="L1513" s="95">
        <v>13</v>
      </c>
      <c r="M1513" s="96">
        <v>2038</v>
      </c>
      <c r="N1513" s="97">
        <v>0</v>
      </c>
      <c r="O1513" s="98">
        <v>46020</v>
      </c>
      <c r="P1513" s="98">
        <v>46020</v>
      </c>
      <c r="Q1513" s="99">
        <v>0</v>
      </c>
    </row>
    <row r="1514" spans="1:17">
      <c r="A1514" s="7">
        <v>2025</v>
      </c>
      <c r="B1514" s="8" t="s">
        <v>434</v>
      </c>
      <c r="C1514" s="94" t="s">
        <v>435</v>
      </c>
      <c r="D1514" s="95">
        <v>3215062</v>
      </c>
      <c r="E1514" s="95">
        <v>2</v>
      </c>
      <c r="F1514" s="95"/>
      <c r="G1514" s="95">
        <v>107200</v>
      </c>
      <c r="H1514" s="95" t="s">
        <v>222</v>
      </c>
      <c r="I1514" s="95"/>
      <c r="J1514" s="95" t="s">
        <v>183</v>
      </c>
      <c r="K1514" s="95" t="b">
        <v>1</v>
      </c>
      <c r="L1514" s="95">
        <v>3</v>
      </c>
      <c r="M1514" s="96">
        <v>2028</v>
      </c>
      <c r="N1514" s="97">
        <v>0</v>
      </c>
      <c r="O1514" s="98">
        <v>46020</v>
      </c>
      <c r="P1514" s="98">
        <v>46020</v>
      </c>
      <c r="Q1514" s="99">
        <v>0</v>
      </c>
    </row>
    <row r="1515" spans="1:17">
      <c r="A1515" s="7">
        <v>2025</v>
      </c>
      <c r="B1515" s="8" t="s">
        <v>434</v>
      </c>
      <c r="C1515" s="94" t="s">
        <v>435</v>
      </c>
      <c r="D1515" s="95">
        <v>3215062</v>
      </c>
      <c r="E1515" s="95">
        <v>2</v>
      </c>
      <c r="F1515" s="95"/>
      <c r="G1515" s="95">
        <v>107200</v>
      </c>
      <c r="H1515" s="95" t="s">
        <v>222</v>
      </c>
      <c r="I1515" s="95"/>
      <c r="J1515" s="95" t="s">
        <v>183</v>
      </c>
      <c r="K1515" s="95" t="b">
        <v>1</v>
      </c>
      <c r="L1515" s="95">
        <v>0</v>
      </c>
      <c r="M1515" s="96">
        <v>2025</v>
      </c>
      <c r="N1515" s="97">
        <v>0</v>
      </c>
      <c r="O1515" s="98">
        <v>46020</v>
      </c>
      <c r="P1515" s="98">
        <v>46020</v>
      </c>
      <c r="Q1515" s="99">
        <v>0</v>
      </c>
    </row>
    <row r="1516" spans="1:17">
      <c r="A1516" s="7">
        <v>2025</v>
      </c>
      <c r="B1516" s="8" t="s">
        <v>434</v>
      </c>
      <c r="C1516" s="94" t="s">
        <v>435</v>
      </c>
      <c r="D1516" s="95">
        <v>3215062</v>
      </c>
      <c r="E1516" s="95">
        <v>2</v>
      </c>
      <c r="F1516" s="95"/>
      <c r="G1516" s="95">
        <v>107200</v>
      </c>
      <c r="H1516" s="95" t="s">
        <v>222</v>
      </c>
      <c r="I1516" s="95"/>
      <c r="J1516" s="95" t="s">
        <v>183</v>
      </c>
      <c r="K1516" s="95" t="b">
        <v>1</v>
      </c>
      <c r="L1516" s="95">
        <v>6</v>
      </c>
      <c r="M1516" s="96">
        <v>2031</v>
      </c>
      <c r="N1516" s="97">
        <v>0</v>
      </c>
      <c r="O1516" s="98">
        <v>46020</v>
      </c>
      <c r="P1516" s="98">
        <v>46020</v>
      </c>
      <c r="Q1516" s="99">
        <v>0</v>
      </c>
    </row>
    <row r="1517" spans="1:17">
      <c r="A1517" s="7">
        <v>2025</v>
      </c>
      <c r="B1517" s="8" t="s">
        <v>434</v>
      </c>
      <c r="C1517" s="94" t="s">
        <v>435</v>
      </c>
      <c r="D1517" s="95">
        <v>3215062</v>
      </c>
      <c r="E1517" s="95">
        <v>2</v>
      </c>
      <c r="F1517" s="95"/>
      <c r="G1517" s="95">
        <v>107200</v>
      </c>
      <c r="H1517" s="95" t="s">
        <v>222</v>
      </c>
      <c r="I1517" s="95"/>
      <c r="J1517" s="95" t="s">
        <v>183</v>
      </c>
      <c r="K1517" s="95" t="b">
        <v>1</v>
      </c>
      <c r="L1517" s="95">
        <v>4</v>
      </c>
      <c r="M1517" s="96">
        <v>2029</v>
      </c>
      <c r="N1517" s="97">
        <v>0</v>
      </c>
      <c r="O1517" s="98">
        <v>46020</v>
      </c>
      <c r="P1517" s="98">
        <v>46020</v>
      </c>
      <c r="Q1517" s="99">
        <v>0</v>
      </c>
    </row>
    <row r="1518" spans="1:17">
      <c r="A1518" s="7">
        <v>2025</v>
      </c>
      <c r="B1518" s="8" t="s">
        <v>434</v>
      </c>
      <c r="C1518" s="94" t="s">
        <v>435</v>
      </c>
      <c r="D1518" s="95">
        <v>3215062</v>
      </c>
      <c r="E1518" s="95">
        <v>2</v>
      </c>
      <c r="F1518" s="95"/>
      <c r="G1518" s="95">
        <v>107200</v>
      </c>
      <c r="H1518" s="95" t="s">
        <v>222</v>
      </c>
      <c r="I1518" s="95"/>
      <c r="J1518" s="95" t="s">
        <v>183</v>
      </c>
      <c r="K1518" s="95" t="b">
        <v>1</v>
      </c>
      <c r="L1518" s="95">
        <v>12</v>
      </c>
      <c r="M1518" s="96">
        <v>2037</v>
      </c>
      <c r="N1518" s="97">
        <v>0</v>
      </c>
      <c r="O1518" s="98">
        <v>46020</v>
      </c>
      <c r="P1518" s="98">
        <v>46020</v>
      </c>
      <c r="Q1518" s="99">
        <v>0</v>
      </c>
    </row>
    <row r="1519" spans="1:17">
      <c r="A1519" s="7">
        <v>2025</v>
      </c>
      <c r="B1519" s="8" t="s">
        <v>434</v>
      </c>
      <c r="C1519" s="94" t="s">
        <v>435</v>
      </c>
      <c r="D1519" s="95">
        <v>3215062</v>
      </c>
      <c r="E1519" s="95">
        <v>2</v>
      </c>
      <c r="F1519" s="95"/>
      <c r="G1519" s="95">
        <v>93000</v>
      </c>
      <c r="H1519" s="95">
        <v>9.3000000000000007</v>
      </c>
      <c r="I1519" s="95"/>
      <c r="J1519" s="95" t="s">
        <v>167</v>
      </c>
      <c r="K1519" s="95" t="b">
        <v>0</v>
      </c>
      <c r="L1519" s="95">
        <v>2</v>
      </c>
      <c r="M1519" s="96">
        <v>2027</v>
      </c>
      <c r="N1519" s="97">
        <v>2716430.08</v>
      </c>
      <c r="O1519" s="98">
        <v>46020</v>
      </c>
      <c r="P1519" s="98">
        <v>46020</v>
      </c>
      <c r="Q1519" s="99">
        <v>0</v>
      </c>
    </row>
    <row r="1520" spans="1:17">
      <c r="A1520" s="7">
        <v>2025</v>
      </c>
      <c r="B1520" s="8" t="s">
        <v>434</v>
      </c>
      <c r="C1520" s="94" t="s">
        <v>435</v>
      </c>
      <c r="D1520" s="95">
        <v>3215062</v>
      </c>
      <c r="E1520" s="95">
        <v>2</v>
      </c>
      <c r="F1520" s="95"/>
      <c r="G1520" s="95">
        <v>93000</v>
      </c>
      <c r="H1520" s="95">
        <v>9.3000000000000007</v>
      </c>
      <c r="I1520" s="95"/>
      <c r="J1520" s="95" t="s">
        <v>167</v>
      </c>
      <c r="K1520" s="95" t="b">
        <v>0</v>
      </c>
      <c r="L1520" s="95">
        <v>10</v>
      </c>
      <c r="M1520" s="96">
        <v>2035</v>
      </c>
      <c r="N1520" s="97">
        <v>0</v>
      </c>
      <c r="O1520" s="98">
        <v>46020</v>
      </c>
      <c r="P1520" s="98">
        <v>46020</v>
      </c>
      <c r="Q1520" s="99">
        <v>0</v>
      </c>
    </row>
    <row r="1521" spans="1:17">
      <c r="A1521" s="7">
        <v>2025</v>
      </c>
      <c r="B1521" s="8" t="s">
        <v>434</v>
      </c>
      <c r="C1521" s="94" t="s">
        <v>435</v>
      </c>
      <c r="D1521" s="95">
        <v>3215062</v>
      </c>
      <c r="E1521" s="95">
        <v>2</v>
      </c>
      <c r="F1521" s="95"/>
      <c r="G1521" s="95">
        <v>93000</v>
      </c>
      <c r="H1521" s="95">
        <v>9.3000000000000007</v>
      </c>
      <c r="I1521" s="95"/>
      <c r="J1521" s="95" t="s">
        <v>167</v>
      </c>
      <c r="K1521" s="95" t="b">
        <v>0</v>
      </c>
      <c r="L1521" s="95">
        <v>9</v>
      </c>
      <c r="M1521" s="96">
        <v>2034</v>
      </c>
      <c r="N1521" s="97">
        <v>0</v>
      </c>
      <c r="O1521" s="98">
        <v>46020</v>
      </c>
      <c r="P1521" s="98">
        <v>46020</v>
      </c>
      <c r="Q1521" s="99">
        <v>0</v>
      </c>
    </row>
    <row r="1522" spans="1:17">
      <c r="A1522" s="7">
        <v>2025</v>
      </c>
      <c r="B1522" s="8" t="s">
        <v>434</v>
      </c>
      <c r="C1522" s="94" t="s">
        <v>435</v>
      </c>
      <c r="D1522" s="95">
        <v>3215062</v>
      </c>
      <c r="E1522" s="95">
        <v>2</v>
      </c>
      <c r="F1522" s="95"/>
      <c r="G1522" s="95">
        <v>93000</v>
      </c>
      <c r="H1522" s="95">
        <v>9.3000000000000007</v>
      </c>
      <c r="I1522" s="95"/>
      <c r="J1522" s="95" t="s">
        <v>167</v>
      </c>
      <c r="K1522" s="95" t="b">
        <v>0</v>
      </c>
      <c r="L1522" s="95">
        <v>7</v>
      </c>
      <c r="M1522" s="96">
        <v>2032</v>
      </c>
      <c r="N1522" s="97">
        <v>0</v>
      </c>
      <c r="O1522" s="98">
        <v>46020</v>
      </c>
      <c r="P1522" s="98">
        <v>46020</v>
      </c>
      <c r="Q1522" s="99">
        <v>0</v>
      </c>
    </row>
    <row r="1523" spans="1:17">
      <c r="A1523" s="7">
        <v>2025</v>
      </c>
      <c r="B1523" s="8" t="s">
        <v>434</v>
      </c>
      <c r="C1523" s="94" t="s">
        <v>435</v>
      </c>
      <c r="D1523" s="95">
        <v>3215062</v>
      </c>
      <c r="E1523" s="95">
        <v>2</v>
      </c>
      <c r="F1523" s="95"/>
      <c r="G1523" s="95">
        <v>93000</v>
      </c>
      <c r="H1523" s="95">
        <v>9.3000000000000007</v>
      </c>
      <c r="I1523" s="95"/>
      <c r="J1523" s="95" t="s">
        <v>167</v>
      </c>
      <c r="K1523" s="95" t="b">
        <v>0</v>
      </c>
      <c r="L1523" s="95">
        <v>5</v>
      </c>
      <c r="M1523" s="96">
        <v>2030</v>
      </c>
      <c r="N1523" s="97">
        <v>0</v>
      </c>
      <c r="O1523" s="98">
        <v>46020</v>
      </c>
      <c r="P1523" s="98">
        <v>46020</v>
      </c>
      <c r="Q1523" s="99">
        <v>0</v>
      </c>
    </row>
    <row r="1524" spans="1:17">
      <c r="A1524" s="7">
        <v>2025</v>
      </c>
      <c r="B1524" s="8" t="s">
        <v>434</v>
      </c>
      <c r="C1524" s="94" t="s">
        <v>435</v>
      </c>
      <c r="D1524" s="95">
        <v>3215062</v>
      </c>
      <c r="E1524" s="95">
        <v>2</v>
      </c>
      <c r="F1524" s="95"/>
      <c r="G1524" s="95">
        <v>93000</v>
      </c>
      <c r="H1524" s="95">
        <v>9.3000000000000007</v>
      </c>
      <c r="I1524" s="95"/>
      <c r="J1524" s="95" t="s">
        <v>167</v>
      </c>
      <c r="K1524" s="95" t="b">
        <v>0</v>
      </c>
      <c r="L1524" s="95">
        <v>0</v>
      </c>
      <c r="M1524" s="96">
        <v>2025</v>
      </c>
      <c r="N1524" s="97">
        <v>1401238.55</v>
      </c>
      <c r="O1524" s="98">
        <v>46020</v>
      </c>
      <c r="P1524" s="98">
        <v>46020</v>
      </c>
      <c r="Q1524" s="99">
        <v>0</v>
      </c>
    </row>
    <row r="1525" spans="1:17">
      <c r="A1525" s="7">
        <v>2025</v>
      </c>
      <c r="B1525" s="8" t="s">
        <v>434</v>
      </c>
      <c r="C1525" s="94" t="s">
        <v>435</v>
      </c>
      <c r="D1525" s="95">
        <v>3215062</v>
      </c>
      <c r="E1525" s="95">
        <v>2</v>
      </c>
      <c r="F1525" s="95"/>
      <c r="G1525" s="95">
        <v>93000</v>
      </c>
      <c r="H1525" s="95">
        <v>9.3000000000000007</v>
      </c>
      <c r="I1525" s="95"/>
      <c r="J1525" s="95" t="s">
        <v>167</v>
      </c>
      <c r="K1525" s="95" t="b">
        <v>0</v>
      </c>
      <c r="L1525" s="95">
        <v>11</v>
      </c>
      <c r="M1525" s="96">
        <v>2036</v>
      </c>
      <c r="N1525" s="97">
        <v>0</v>
      </c>
      <c r="O1525" s="98">
        <v>46020</v>
      </c>
      <c r="P1525" s="98">
        <v>46020</v>
      </c>
      <c r="Q1525" s="99">
        <v>0</v>
      </c>
    </row>
    <row r="1526" spans="1:17">
      <c r="A1526" s="7">
        <v>2025</v>
      </c>
      <c r="B1526" s="8" t="s">
        <v>434</v>
      </c>
      <c r="C1526" s="94" t="s">
        <v>435</v>
      </c>
      <c r="D1526" s="95">
        <v>3215062</v>
      </c>
      <c r="E1526" s="95">
        <v>2</v>
      </c>
      <c r="F1526" s="95"/>
      <c r="G1526" s="95">
        <v>93000</v>
      </c>
      <c r="H1526" s="95">
        <v>9.3000000000000007</v>
      </c>
      <c r="I1526" s="95"/>
      <c r="J1526" s="95" t="s">
        <v>167</v>
      </c>
      <c r="K1526" s="95" t="b">
        <v>0</v>
      </c>
      <c r="L1526" s="95">
        <v>12</v>
      </c>
      <c r="M1526" s="96">
        <v>2037</v>
      </c>
      <c r="N1526" s="97">
        <v>0</v>
      </c>
      <c r="O1526" s="98">
        <v>46020</v>
      </c>
      <c r="P1526" s="98">
        <v>46020</v>
      </c>
      <c r="Q1526" s="99">
        <v>0</v>
      </c>
    </row>
    <row r="1527" spans="1:17">
      <c r="A1527" s="7">
        <v>2025</v>
      </c>
      <c r="B1527" s="8" t="s">
        <v>434</v>
      </c>
      <c r="C1527" s="94" t="s">
        <v>435</v>
      </c>
      <c r="D1527" s="95">
        <v>3215062</v>
      </c>
      <c r="E1527" s="95">
        <v>2</v>
      </c>
      <c r="F1527" s="95"/>
      <c r="G1527" s="95">
        <v>93000</v>
      </c>
      <c r="H1527" s="95">
        <v>9.3000000000000007</v>
      </c>
      <c r="I1527" s="95"/>
      <c r="J1527" s="95" t="s">
        <v>167</v>
      </c>
      <c r="K1527" s="95" t="b">
        <v>0</v>
      </c>
      <c r="L1527" s="95">
        <v>1</v>
      </c>
      <c r="M1527" s="96">
        <v>2026</v>
      </c>
      <c r="N1527" s="97">
        <v>3712121.19</v>
      </c>
      <c r="O1527" s="98">
        <v>46020</v>
      </c>
      <c r="P1527" s="98">
        <v>46020</v>
      </c>
      <c r="Q1527" s="99">
        <v>0</v>
      </c>
    </row>
    <row r="1528" spans="1:17">
      <c r="A1528" s="7">
        <v>2025</v>
      </c>
      <c r="B1528" s="8" t="s">
        <v>434</v>
      </c>
      <c r="C1528" s="94" t="s">
        <v>435</v>
      </c>
      <c r="D1528" s="95">
        <v>3215062</v>
      </c>
      <c r="E1528" s="95">
        <v>2</v>
      </c>
      <c r="F1528" s="95"/>
      <c r="G1528" s="95">
        <v>93000</v>
      </c>
      <c r="H1528" s="95">
        <v>9.3000000000000007</v>
      </c>
      <c r="I1528" s="95"/>
      <c r="J1528" s="95" t="s">
        <v>167</v>
      </c>
      <c r="K1528" s="95" t="b">
        <v>0</v>
      </c>
      <c r="L1528" s="95">
        <v>13</v>
      </c>
      <c r="M1528" s="96">
        <v>2038</v>
      </c>
      <c r="N1528" s="97">
        <v>0</v>
      </c>
      <c r="O1528" s="98">
        <v>46020</v>
      </c>
      <c r="P1528" s="98">
        <v>46020</v>
      </c>
      <c r="Q1528" s="99">
        <v>0</v>
      </c>
    </row>
    <row r="1529" spans="1:17">
      <c r="A1529" s="7">
        <v>2025</v>
      </c>
      <c r="B1529" s="8" t="s">
        <v>434</v>
      </c>
      <c r="C1529" s="94" t="s">
        <v>435</v>
      </c>
      <c r="D1529" s="95">
        <v>3215062</v>
      </c>
      <c r="E1529" s="95">
        <v>2</v>
      </c>
      <c r="F1529" s="95"/>
      <c r="G1529" s="95">
        <v>93000</v>
      </c>
      <c r="H1529" s="95">
        <v>9.3000000000000007</v>
      </c>
      <c r="I1529" s="95"/>
      <c r="J1529" s="95" t="s">
        <v>167</v>
      </c>
      <c r="K1529" s="95" t="b">
        <v>0</v>
      </c>
      <c r="L1529" s="95">
        <v>8</v>
      </c>
      <c r="M1529" s="96">
        <v>2033</v>
      </c>
      <c r="N1529" s="97">
        <v>0</v>
      </c>
      <c r="O1529" s="98">
        <v>46020</v>
      </c>
      <c r="P1529" s="98">
        <v>46020</v>
      </c>
      <c r="Q1529" s="99">
        <v>0</v>
      </c>
    </row>
    <row r="1530" spans="1:17">
      <c r="A1530" s="7">
        <v>2025</v>
      </c>
      <c r="B1530" s="8" t="s">
        <v>434</v>
      </c>
      <c r="C1530" s="94" t="s">
        <v>435</v>
      </c>
      <c r="D1530" s="95">
        <v>3215062</v>
      </c>
      <c r="E1530" s="95">
        <v>2</v>
      </c>
      <c r="F1530" s="95"/>
      <c r="G1530" s="95">
        <v>93000</v>
      </c>
      <c r="H1530" s="95">
        <v>9.3000000000000007</v>
      </c>
      <c r="I1530" s="95"/>
      <c r="J1530" s="95" t="s">
        <v>167</v>
      </c>
      <c r="K1530" s="95" t="b">
        <v>0</v>
      </c>
      <c r="L1530" s="95">
        <v>4</v>
      </c>
      <c r="M1530" s="96">
        <v>2029</v>
      </c>
      <c r="N1530" s="97">
        <v>0</v>
      </c>
      <c r="O1530" s="98">
        <v>46020</v>
      </c>
      <c r="P1530" s="98">
        <v>46020</v>
      </c>
      <c r="Q1530" s="99">
        <v>0</v>
      </c>
    </row>
    <row r="1531" spans="1:17">
      <c r="A1531" s="7">
        <v>2025</v>
      </c>
      <c r="B1531" s="8" t="s">
        <v>434</v>
      </c>
      <c r="C1531" s="94" t="s">
        <v>435</v>
      </c>
      <c r="D1531" s="95">
        <v>3215062</v>
      </c>
      <c r="E1531" s="95">
        <v>2</v>
      </c>
      <c r="F1531" s="95"/>
      <c r="G1531" s="95">
        <v>93000</v>
      </c>
      <c r="H1531" s="95">
        <v>9.3000000000000007</v>
      </c>
      <c r="I1531" s="95"/>
      <c r="J1531" s="95" t="s">
        <v>167</v>
      </c>
      <c r="K1531" s="95" t="b">
        <v>0</v>
      </c>
      <c r="L1531" s="95">
        <v>3</v>
      </c>
      <c r="M1531" s="96">
        <v>2028</v>
      </c>
      <c r="N1531" s="97">
        <v>13800</v>
      </c>
      <c r="O1531" s="98">
        <v>46020</v>
      </c>
      <c r="P1531" s="98">
        <v>46020</v>
      </c>
      <c r="Q1531" s="99">
        <v>0</v>
      </c>
    </row>
    <row r="1532" spans="1:17">
      <c r="A1532" s="7">
        <v>2025</v>
      </c>
      <c r="B1532" s="8" t="s">
        <v>434</v>
      </c>
      <c r="C1532" s="94" t="s">
        <v>435</v>
      </c>
      <c r="D1532" s="95">
        <v>3215062</v>
      </c>
      <c r="E1532" s="95">
        <v>2</v>
      </c>
      <c r="F1532" s="95"/>
      <c r="G1532" s="95">
        <v>93000</v>
      </c>
      <c r="H1532" s="95">
        <v>9.3000000000000007</v>
      </c>
      <c r="I1532" s="95"/>
      <c r="J1532" s="95" t="s">
        <v>167</v>
      </c>
      <c r="K1532" s="95" t="b">
        <v>0</v>
      </c>
      <c r="L1532" s="95">
        <v>6</v>
      </c>
      <c r="M1532" s="96">
        <v>2031</v>
      </c>
      <c r="N1532" s="97">
        <v>0</v>
      </c>
      <c r="O1532" s="98">
        <v>46020</v>
      </c>
      <c r="P1532" s="98">
        <v>46020</v>
      </c>
      <c r="Q1532" s="99">
        <v>0</v>
      </c>
    </row>
  </sheetData>
  <autoFilter ref="A6:Q7" xr:uid="{00000000-0009-0000-0000-000001000000}"/>
  <customSheetViews>
    <customSheetView guid="{9360F695-77C0-4418-82C5-829A762C44E9}" state="hidden">
      <selection activeCell="G1" sqref="G1"/>
      <pageMargins left="0.7" right="0.7" top="0.75" bottom="0.75" header="0.3" footer="0.3"/>
      <pageSetup paperSize="9" orientation="portrait" horizontalDpi="4294967293" verticalDpi="0" r:id="rId1"/>
    </customSheetView>
  </customSheetViews>
  <phoneticPr fontId="0" type="noConversion"/>
  <pageMargins left="0.7" right="0.7" top="0.75" bottom="0.75" header="0.3" footer="0.3"/>
  <pageSetup paperSize="9" orientation="portrait" horizontalDpi="4294967293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6"/>
  <dimension ref="A1:W4"/>
  <sheetViews>
    <sheetView workbookViewId="0">
      <pane ySplit="3" topLeftCell="A4" activePane="bottomLeft" state="frozen"/>
      <selection activeCell="D1" sqref="D1"/>
      <selection pane="bottomLeft" activeCell="A4" sqref="A4"/>
    </sheetView>
  </sheetViews>
  <sheetFormatPr defaultColWidth="9" defaultRowHeight="14"/>
  <cols>
    <col min="2" max="2" width="12.5" customWidth="1"/>
    <col min="3" max="3" width="19.75" customWidth="1"/>
    <col min="7" max="7" width="6.25" customWidth="1"/>
    <col min="8" max="8" width="6.83203125" customWidth="1"/>
    <col min="9" max="9" width="11.25" customWidth="1"/>
    <col min="10" max="10" width="13.5" bestFit="1" customWidth="1"/>
    <col min="14" max="21" width="14" customWidth="1"/>
  </cols>
  <sheetData>
    <row r="1" spans="1:23">
      <c r="A1" s="2" t="s">
        <v>20</v>
      </c>
      <c r="K1" s="4" t="s">
        <v>22</v>
      </c>
      <c r="L1" s="11">
        <f>MIN(M:M)</f>
        <v>0</v>
      </c>
      <c r="S1" s="11"/>
      <c r="T1" s="11"/>
      <c r="U1" s="11"/>
    </row>
    <row r="3" spans="1:23" ht="14.5" thickBot="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99</v>
      </c>
      <c r="M3" s="3" t="s">
        <v>13</v>
      </c>
      <c r="N3" s="3" t="s">
        <v>363</v>
      </c>
      <c r="O3" s="3" t="s">
        <v>364</v>
      </c>
      <c r="P3" s="3" t="s">
        <v>365</v>
      </c>
      <c r="Q3" s="3" t="s">
        <v>366</v>
      </c>
      <c r="R3" s="3" t="s">
        <v>71</v>
      </c>
      <c r="S3" s="3" t="s">
        <v>72</v>
      </c>
      <c r="T3" s="3" t="s">
        <v>74</v>
      </c>
      <c r="U3" s="3" t="s">
        <v>73</v>
      </c>
      <c r="V3" s="3" t="s">
        <v>15</v>
      </c>
      <c r="W3" s="3" t="s">
        <v>16</v>
      </c>
    </row>
    <row r="4" spans="1:23">
      <c r="A4" s="7" t="e">
        <f ca="1">RT_DaneDoWsk234_WstawTabele("budzet,numer,nazwajst,kodgus,gt,mswia,lp,symbol,formula,wyszczegolnienie,wsk243,rokwzgl,rokprognozy,WykN_7,WykN_6,WykN_5,WykN_4,WykN_3,WykN_2,PLN_1,wykn_1,pl_datapodjecia,pl_datawejscia")</f>
        <v>#NAME?</v>
      </c>
      <c r="B4" s="8"/>
      <c r="C4" s="8"/>
      <c r="D4" s="9"/>
      <c r="E4" s="9"/>
      <c r="F4" s="9"/>
      <c r="G4" s="9"/>
      <c r="H4" s="9"/>
      <c r="I4" s="9"/>
      <c r="J4" s="9"/>
      <c r="K4" s="9"/>
      <c r="L4" s="9"/>
      <c r="M4" s="5"/>
      <c r="N4" s="5"/>
      <c r="O4" s="5"/>
      <c r="P4" s="5"/>
      <c r="Q4" s="5"/>
      <c r="R4" s="6"/>
      <c r="S4" s="6"/>
      <c r="T4" s="6"/>
      <c r="U4" s="6"/>
      <c r="V4" s="10"/>
      <c r="W4" s="10"/>
    </row>
  </sheetData>
  <autoFilter ref="A3:W4" xr:uid="{00000000-0009-0000-0000-000002000000}"/>
  <customSheetViews>
    <customSheetView guid="{9360F695-77C0-4418-82C5-829A762C44E9}" state="hidden">
      <selection activeCell="A4" sqref="A4"/>
      <pageMargins left="0.7" right="0.7" top="0.75" bottom="0.75" header="0.3" footer="0.3"/>
      <pageSetup paperSize="9" orientation="portrait" horizontalDpi="4294967293" verticalDpi="0" r:id="rId1"/>
    </customSheetView>
  </customSheetViews>
  <phoneticPr fontId="32" type="noConversion"/>
  <pageMargins left="0.7" right="0.7" top="0.75" bottom="0.75" header="0.3" footer="0.3"/>
  <pageSetup paperSize="9" orientation="portrait" horizontalDpi="4294967293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9"/>
  <dimension ref="A1:BA42"/>
  <sheetViews>
    <sheetView topLeftCell="C1" zoomScale="80" zoomScaleNormal="80" workbookViewId="0">
      <pane xSplit="3" ySplit="14" topLeftCell="F17" activePane="bottomRight" state="frozen"/>
      <selection activeCell="C1" sqref="C1"/>
      <selection pane="topRight" activeCell="F1" sqref="F1"/>
      <selection pane="bottomLeft" activeCell="C15" sqref="C15"/>
      <selection pane="bottomRight" activeCell="D21" sqref="D21"/>
    </sheetView>
  </sheetViews>
  <sheetFormatPr defaultRowHeight="14" outlineLevelRow="3" outlineLevelCol="1"/>
  <cols>
    <col min="1" max="2" width="4.25" hidden="1" customWidth="1" outlineLevel="1"/>
    <col min="3" max="3" width="5.5" customWidth="1" collapsed="1"/>
    <col min="4" max="4" width="13.25" customWidth="1"/>
    <col min="5" max="5" width="65.83203125" customWidth="1"/>
    <col min="6" max="13" width="8.75" customWidth="1" outlineLevel="1"/>
    <col min="14" max="14" width="8.75" customWidth="1"/>
  </cols>
  <sheetData>
    <row r="1" spans="1:53">
      <c r="E1" s="100" t="s">
        <v>404</v>
      </c>
    </row>
    <row r="2" spans="1:53" hidden="1" outlineLevel="1">
      <c r="A2" s="18"/>
      <c r="B2" s="18"/>
      <c r="C2" s="1"/>
      <c r="D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</row>
    <row r="3" spans="1:53" hidden="1" outlineLevel="1">
      <c r="A3" s="18"/>
      <c r="B3" s="18"/>
      <c r="C3" s="1"/>
      <c r="D3" s="1"/>
      <c r="E3" s="103" t="s">
        <v>367</v>
      </c>
      <c r="F3" s="1"/>
      <c r="G3" s="1"/>
      <c r="H3" s="1"/>
      <c r="I3" s="1"/>
      <c r="J3" s="1"/>
      <c r="K3" s="1"/>
      <c r="L3" s="1"/>
      <c r="M3" s="1"/>
      <c r="N3" s="102" t="e">
        <f>+#REF!</f>
        <v>#REF!</v>
      </c>
      <c r="O3" s="102" t="e">
        <f>+#REF!</f>
        <v>#REF!</v>
      </c>
      <c r="P3" s="102" t="e">
        <f>+#REF!</f>
        <v>#REF!</v>
      </c>
      <c r="Q3" s="102" t="e">
        <f>+#REF!</f>
        <v>#REF!</v>
      </c>
      <c r="R3" s="102" t="e">
        <f>+#REF!</f>
        <v>#REF!</v>
      </c>
      <c r="S3" s="102" t="e">
        <f>+#REF!</f>
        <v>#REF!</v>
      </c>
      <c r="T3" s="102" t="e">
        <f>+#REF!</f>
        <v>#REF!</v>
      </c>
      <c r="U3" s="102" t="e">
        <f>+#REF!</f>
        <v>#REF!</v>
      </c>
      <c r="V3" s="102" t="e">
        <f>+#REF!</f>
        <v>#REF!</v>
      </c>
      <c r="W3" s="102" t="e">
        <f>+#REF!</f>
        <v>#REF!</v>
      </c>
      <c r="X3" s="102" t="e">
        <f>+#REF!</f>
        <v>#REF!</v>
      </c>
      <c r="Y3" s="102" t="e">
        <f>+#REF!</f>
        <v>#REF!</v>
      </c>
      <c r="Z3" s="102" t="e">
        <f>+#REF!</f>
        <v>#REF!</v>
      </c>
      <c r="AA3" s="102" t="e">
        <f>+#REF!</f>
        <v>#REF!</v>
      </c>
      <c r="AB3" s="102" t="e">
        <f>+#REF!</f>
        <v>#REF!</v>
      </c>
      <c r="AC3" s="102" t="e">
        <f>+#REF!</f>
        <v>#REF!</v>
      </c>
      <c r="AD3" s="102" t="e">
        <f>+#REF!</f>
        <v>#REF!</v>
      </c>
      <c r="AE3" s="102" t="e">
        <f>+#REF!</f>
        <v>#REF!</v>
      </c>
      <c r="AF3" s="102" t="e">
        <f>+#REF!</f>
        <v>#REF!</v>
      </c>
      <c r="AG3" s="102" t="e">
        <f>+#REF!</f>
        <v>#REF!</v>
      </c>
      <c r="AH3" s="102" t="e">
        <f>+#REF!</f>
        <v>#REF!</v>
      </c>
      <c r="AI3" s="102" t="e">
        <f>+#REF!</f>
        <v>#REF!</v>
      </c>
      <c r="AJ3" s="102" t="e">
        <f>+#REF!</f>
        <v>#REF!</v>
      </c>
      <c r="AK3" s="102" t="e">
        <f>+#REF!</f>
        <v>#REF!</v>
      </c>
      <c r="AL3" s="102" t="e">
        <f>+#REF!</f>
        <v>#REF!</v>
      </c>
      <c r="AM3" s="102" t="e">
        <f>+#REF!</f>
        <v>#REF!</v>
      </c>
      <c r="AN3" s="102" t="e">
        <f>+#REF!</f>
        <v>#REF!</v>
      </c>
      <c r="AO3" s="102" t="e">
        <f>+#REF!</f>
        <v>#REF!</v>
      </c>
      <c r="AP3" s="102" t="e">
        <f>+#REF!</f>
        <v>#REF!</v>
      </c>
      <c r="AQ3" s="102" t="e">
        <f>+#REF!</f>
        <v>#REF!</v>
      </c>
      <c r="AR3" s="102" t="e">
        <f>+#REF!</f>
        <v>#REF!</v>
      </c>
      <c r="AS3" s="102" t="e">
        <f>+#REF!</f>
        <v>#REF!</v>
      </c>
      <c r="AT3" s="102" t="e">
        <f>+#REF!</f>
        <v>#REF!</v>
      </c>
      <c r="AU3" s="102" t="e">
        <f>+#REF!</f>
        <v>#REF!</v>
      </c>
      <c r="AV3" s="102" t="e">
        <f>+#REF!</f>
        <v>#REF!</v>
      </c>
      <c r="AW3" s="102" t="e">
        <f>+#REF!</f>
        <v>#REF!</v>
      </c>
      <c r="AX3" s="102" t="e">
        <f>+#REF!</f>
        <v>#REF!</v>
      </c>
      <c r="AY3" s="102" t="e">
        <f>+#REF!</f>
        <v>#REF!</v>
      </c>
      <c r="AZ3" s="102" t="e">
        <f>+#REF!</f>
        <v>#REF!</v>
      </c>
      <c r="BA3" s="102" t="e">
        <f>+#REF!</f>
        <v>#REF!</v>
      </c>
    </row>
    <row r="4" spans="1:53" ht="34.5" hidden="1" outlineLevel="2">
      <c r="A4" s="18" t="s">
        <v>25</v>
      </c>
      <c r="B4" s="18" t="s">
        <v>25</v>
      </c>
      <c r="C4" s="67" t="s">
        <v>231</v>
      </c>
      <c r="D4" s="106" t="s">
        <v>297</v>
      </c>
      <c r="E4" s="104" t="s">
        <v>261</v>
      </c>
      <c r="F4" s="68" t="s">
        <v>25</v>
      </c>
      <c r="G4" s="68" t="s">
        <v>25</v>
      </c>
      <c r="H4" s="68" t="s">
        <v>25</v>
      </c>
      <c r="I4" s="68" t="s">
        <v>25</v>
      </c>
      <c r="J4" s="68" t="s">
        <v>25</v>
      </c>
      <c r="K4" s="68" t="s">
        <v>25</v>
      </c>
      <c r="L4" s="68" t="s">
        <v>25</v>
      </c>
      <c r="M4" s="101" t="s">
        <v>25</v>
      </c>
      <c r="N4" s="69" t="e">
        <f>+IF(#REF!&lt;=2025,ROUND(SUM(#REF!,#REF!,#REF!,#REF!)/7,4),7)</f>
        <v>#REF!</v>
      </c>
      <c r="O4" s="69" t="e">
        <f>+IF(#REF!&lt;=2025,ROUND(SUM(#REF!,#REF!,#REF!,#REF!)/7,4),7)</f>
        <v>#REF!</v>
      </c>
      <c r="P4" s="69" t="e">
        <f>+IF(#REF!&lt;=2025,ROUND(SUM(#REF!,#REF!,#REF!,#REF!)/7,4),7)</f>
        <v>#REF!</v>
      </c>
      <c r="Q4" s="69" t="e">
        <f>+IF(#REF!&lt;=2025,ROUND(SUM(#REF!,#REF!,#REF!,#REF!,#REF!)/7,4),7)</f>
        <v>#REF!</v>
      </c>
      <c r="R4" s="69" t="e">
        <f>+IF(#REF!&lt;=Ostatni_rok_analizy,IF(#REF!&lt;=2025,ROUND(SUM(#REF!,#REF!,#REF!,#REF!,#REF!,#REF!,#REF!)/7,4),+ROUND(SUM(#REF!,#REF!,#REF!,#REF!,#REF!,#REF!,#REF!)/7,4)),0)</f>
        <v>#REF!</v>
      </c>
      <c r="S4" s="69" t="e">
        <f>+IF(#REF!&lt;=Ostatni_rok_analizy,IF(#REF!&lt;=2025,ROUND(SUM(#REF!,#REF!,#REF!,#REF!,#REF!,#REF!,#REF!)/7,4),+ROUND(SUM(#REF!,#REF!,#REF!,#REF!,#REF!,#REF!,#REF!)/7,4)),0)</f>
        <v>#REF!</v>
      </c>
      <c r="T4" s="69" t="e">
        <f>+IF(#REF!&lt;=Ostatni_rok_analizy,IF(#REF!&lt;=2025,ROUND(SUM(#REF!,#REF!,#REF!,#REF!,#REF!,#REF!,#REF!)/7,4),+ROUND(SUM(#REF!,#REF!,#REF!,#REF!,#REF!,#REF!,#REF!)/7,4)),0)</f>
        <v>#REF!</v>
      </c>
      <c r="U4" s="69" t="e">
        <f>+IF(#REF!&lt;=Ostatni_rok_analizy,IF(#REF!&lt;=2025,ROUND(SUM(#REF!,#REF!,#REF!,#REF!,#REF!,#REF!,#REF!)/7,4),+ROUND(SUM(#REF!,#REF!,#REF!,#REF!,#REF!,#REF!,#REF!)/7,4)),0)</f>
        <v>#REF!</v>
      </c>
      <c r="V4" s="69" t="e">
        <f>+IF(#REF!&lt;=Ostatni_rok_analizy,IF(#REF!&lt;=2025,ROUND(SUM(#REF!,#REF!,#REF!,#REF!,#REF!,#REF!,#REF!)/7,4),+ROUND(SUM(#REF!,#REF!,#REF!,#REF!,#REF!,#REF!,#REF!)/7,4)),0)</f>
        <v>#REF!</v>
      </c>
      <c r="W4" s="69" t="e">
        <f>+IF(#REF!&lt;=Ostatni_rok_analizy,IF(#REF!&lt;=2025,ROUND(SUM(#REF!,#REF!,#REF!,#REF!,#REF!,#REF!,#REF!)/7,4),+ROUND(SUM(#REF!,#REF!,#REF!,#REF!,#REF!,#REF!,#REF!)/7,4)),0)</f>
        <v>#REF!</v>
      </c>
      <c r="X4" s="69" t="e">
        <f>+IF(#REF!&lt;=Ostatni_rok_analizy,IF(#REF!&lt;=2025,ROUND(SUM(#REF!,#REF!,#REF!,#REF!,#REF!,#REF!,#REF!)/7,4),+ROUND(SUM(#REF!,#REF!,#REF!,#REF!,#REF!,#REF!,#REF!)/7,4)),0)</f>
        <v>#REF!</v>
      </c>
      <c r="Y4" s="69" t="e">
        <f>+IF(#REF!&lt;=Ostatni_rok_analizy,IF(#REF!&lt;=2025,ROUND(SUM(#REF!,#REF!,#REF!,#REF!,#REF!,#REF!,#REF!)/7,4),+ROUND(SUM(#REF!,#REF!,#REF!,#REF!,#REF!,#REF!,#REF!)/7,4)),0)</f>
        <v>#REF!</v>
      </c>
      <c r="Z4" s="69" t="e">
        <f>+IF(#REF!&lt;=Ostatni_rok_analizy,IF(#REF!&lt;=2025,ROUND(SUM(#REF!,#REF!,#REF!,#REF!,#REF!,#REF!,#REF!)/7,4),+ROUND(SUM(#REF!,#REF!,#REF!,#REF!,#REF!,#REF!,#REF!)/7,4)),0)</f>
        <v>#REF!</v>
      </c>
      <c r="AA4" s="69" t="e">
        <f>+IF(#REF!&lt;=Ostatni_rok_analizy,IF(#REF!&lt;=2025,ROUND(SUM(#REF!,#REF!,#REF!,#REF!,#REF!,#REF!,#REF!)/7,4),+ROUND(SUM(#REF!,#REF!,#REF!,#REF!,#REF!,#REF!,#REF!)/7,4)),0)</f>
        <v>#REF!</v>
      </c>
      <c r="AB4" s="69" t="e">
        <f>+IF(#REF!&lt;=Ostatni_rok_analizy,IF(#REF!&lt;=2025,ROUND(SUM(#REF!,#REF!,#REF!,#REF!,#REF!,#REF!,#REF!)/7,4),+ROUND(SUM(#REF!,#REF!,#REF!,#REF!,#REF!,#REF!,#REF!)/7,4)),0)</f>
        <v>#REF!</v>
      </c>
      <c r="AC4" s="69" t="e">
        <f>+IF(#REF!&lt;=Ostatni_rok_analizy,IF(#REF!&lt;=2025,ROUND(SUM(#REF!,#REF!,#REF!,#REF!,#REF!,#REF!,#REF!)/7,4),+ROUND(SUM(#REF!,#REF!,#REF!,#REF!,#REF!,#REF!,#REF!)/7,4)),0)</f>
        <v>#REF!</v>
      </c>
      <c r="AD4" s="69" t="e">
        <f>+IF(#REF!&lt;=Ostatni_rok_analizy,IF(#REF!&lt;=2025,ROUND(SUM(#REF!,#REF!,#REF!,#REF!,#REF!,#REF!,#REF!)/7,4),+ROUND(SUM(#REF!,#REF!,#REF!,#REF!,#REF!,#REF!,#REF!)/7,4)),0)</f>
        <v>#REF!</v>
      </c>
      <c r="AE4" s="69" t="e">
        <f>+IF(#REF!&lt;=Ostatni_rok_analizy,IF(#REF!&lt;=2025,ROUND(SUM(#REF!,#REF!,#REF!,#REF!,#REF!,#REF!,#REF!)/7,4),+ROUND(SUM(#REF!,#REF!,#REF!,#REF!,#REF!,#REF!,#REF!)/7,4)),0)</f>
        <v>#REF!</v>
      </c>
      <c r="AF4" s="69" t="e">
        <f>+IF(#REF!&lt;=Ostatni_rok_analizy,IF(#REF!&lt;=2025,ROUND(SUM(#REF!,#REF!,#REF!,#REF!,#REF!,#REF!,#REF!)/7,4),+ROUND(SUM(#REF!,#REF!,#REF!,#REF!,#REF!,#REF!,#REF!)/7,4)),0)</f>
        <v>#REF!</v>
      </c>
      <c r="AG4" s="69" t="e">
        <f>+IF(#REF!&lt;=Ostatni_rok_analizy,IF(#REF!&lt;=2025,ROUND(SUM(#REF!,#REF!,#REF!,#REF!,#REF!,#REF!,#REF!)/7,4),+ROUND(SUM(#REF!,#REF!,#REF!,#REF!,#REF!,#REF!,#REF!)/7,4)),0)</f>
        <v>#REF!</v>
      </c>
      <c r="AH4" s="69" t="e">
        <f>+IF(#REF!&lt;=Ostatni_rok_analizy,IF(#REF!&lt;=2025,ROUND(SUM(#REF!,#REF!,#REF!,#REF!,#REF!,#REF!,#REF!)/7,4),+ROUND(SUM(#REF!,#REF!,#REF!,#REF!,#REF!,#REF!,#REF!)/7,4)),0)</f>
        <v>#REF!</v>
      </c>
      <c r="AI4" s="69" t="e">
        <f>+IF(#REF!&lt;=Ostatni_rok_analizy,IF(#REF!&lt;=2025,ROUND(SUM(#REF!,#REF!,#REF!,#REF!,#REF!,#REF!,#REF!)/7,4),+ROUND(SUM(#REF!,#REF!,#REF!,#REF!,#REF!,#REF!,#REF!)/7,4)),0)</f>
        <v>#REF!</v>
      </c>
      <c r="AJ4" s="69" t="e">
        <f>+IF(#REF!&lt;=Ostatni_rok_analizy,IF(#REF!&lt;=2025,ROUND(SUM(#REF!,#REF!,#REF!,#REF!,#REF!,#REF!,#REF!)/7,4),+ROUND(SUM(#REF!,#REF!,#REF!,#REF!,#REF!,#REF!,#REF!)/7,4)),0)</f>
        <v>#REF!</v>
      </c>
      <c r="AK4" s="69" t="e">
        <f>+IF(#REF!&lt;=Ostatni_rok_analizy,IF(#REF!&lt;=2025,ROUND(SUM(#REF!,#REF!,#REF!,#REF!,#REF!,#REF!,#REF!)/7,4),+ROUND(SUM(#REF!,#REF!,#REF!,#REF!,#REF!,#REF!,#REF!)/7,4)),0)</f>
        <v>#REF!</v>
      </c>
      <c r="AL4" s="69" t="e">
        <f>+IF(#REF!&lt;=Ostatni_rok_analizy,IF(#REF!&lt;=2025,ROUND(SUM(#REF!,#REF!,#REF!,#REF!,#REF!,#REF!,#REF!)/7,4),+ROUND(SUM(#REF!,#REF!,#REF!,#REF!,#REF!,#REF!,#REF!)/7,4)),0)</f>
        <v>#REF!</v>
      </c>
      <c r="AM4" s="69" t="e">
        <f>+IF(#REF!&lt;=Ostatni_rok_analizy,IF(#REF!&lt;=2025,ROUND(SUM(#REF!,#REF!,#REF!,#REF!,#REF!,#REF!,#REF!)/7,4),+ROUND(SUM(#REF!,#REF!,#REF!,#REF!,#REF!,#REF!,#REF!)/7,4)),0)</f>
        <v>#REF!</v>
      </c>
      <c r="AN4" s="69" t="e">
        <f>+IF(#REF!&lt;=Ostatni_rok_analizy,IF(#REF!&lt;=2025,ROUND(SUM(#REF!,#REF!,#REF!,#REF!,#REF!,#REF!,#REF!)/7,4),+ROUND(SUM(#REF!,#REF!,#REF!,#REF!,#REF!,#REF!,#REF!)/7,4)),0)</f>
        <v>#REF!</v>
      </c>
      <c r="AO4" s="69" t="e">
        <f>+IF(#REF!&lt;=Ostatni_rok_analizy,IF(#REF!&lt;=2025,ROUND(SUM(#REF!,#REF!,#REF!,#REF!,#REF!,#REF!,#REF!)/7,4),+ROUND(SUM(#REF!,#REF!,#REF!,#REF!,#REF!,#REF!,#REF!)/7,4)),0)</f>
        <v>#REF!</v>
      </c>
      <c r="AP4" s="69" t="e">
        <f>+IF(#REF!&lt;=Ostatni_rok_analizy,IF(#REF!&lt;=2025,ROUND(SUM(#REF!,#REF!,#REF!,#REF!,#REF!,#REF!,#REF!)/7,4),+ROUND(SUM(#REF!,#REF!,#REF!,#REF!,#REF!,#REF!,#REF!)/7,4)),0)</f>
        <v>#REF!</v>
      </c>
      <c r="AQ4" s="69" t="e">
        <f>+IF(#REF!&lt;=Ostatni_rok_analizy,IF(#REF!&lt;=2025,ROUND(SUM(#REF!,#REF!,#REF!,#REF!,#REF!,#REF!,#REF!)/7,4),+ROUND(SUM(#REF!,#REF!,#REF!,#REF!,#REF!,#REF!,#REF!)/7,4)),0)</f>
        <v>#REF!</v>
      </c>
      <c r="AR4" s="69" t="e">
        <f>+IF(#REF!&lt;=Ostatni_rok_analizy,IF(#REF!&lt;=2025,ROUND(SUM(#REF!,#REF!,#REF!,#REF!,#REF!,#REF!,#REF!)/7,4),+ROUND(SUM(#REF!,#REF!,#REF!,#REF!,#REF!,#REF!,#REF!)/7,4)),0)</f>
        <v>#REF!</v>
      </c>
      <c r="AS4" s="69" t="e">
        <f>+IF(#REF!&lt;=Ostatni_rok_analizy,IF(#REF!&lt;=2025,ROUND(SUM(#REF!,#REF!,#REF!,#REF!,#REF!,#REF!,#REF!)/7,4),+ROUND(SUM(#REF!,#REF!,#REF!,#REF!,#REF!,#REF!,#REF!)/7,4)),0)</f>
        <v>#REF!</v>
      </c>
      <c r="AT4" s="69" t="e">
        <f>+IF(#REF!&lt;=Ostatni_rok_analizy,IF(#REF!&lt;=2025,ROUND(SUM(#REF!,#REF!,#REF!,#REF!,#REF!,#REF!,#REF!)/7,4),+ROUND(SUM(#REF!,#REF!,#REF!,#REF!,#REF!,#REF!,#REF!)/7,4)),0)</f>
        <v>#REF!</v>
      </c>
      <c r="AU4" s="69" t="e">
        <f>+IF(#REF!&lt;=Ostatni_rok_analizy,IF(#REF!&lt;=2025,ROUND(SUM(#REF!,#REF!,#REF!,#REF!,#REF!,#REF!,#REF!)/7,4),+ROUND(SUM(#REF!,#REF!,#REF!,#REF!,#REF!,#REF!,#REF!)/7,4)),0)</f>
        <v>#REF!</v>
      </c>
      <c r="AV4" s="69" t="e">
        <f>+IF(#REF!&lt;=Ostatni_rok_analizy,IF(#REF!&lt;=2025,ROUND(SUM(#REF!,#REF!,#REF!,#REF!,#REF!,#REF!,#REF!)/7,4),+ROUND(SUM(#REF!,#REF!,#REF!,#REF!,#REF!,#REF!,#REF!)/7,4)),0)</f>
        <v>#REF!</v>
      </c>
      <c r="AW4" s="69" t="e">
        <f>+IF(#REF!&lt;=Ostatni_rok_analizy,IF(#REF!&lt;=2025,ROUND(SUM(#REF!,#REF!,#REF!,#REF!,#REF!,#REF!,#REF!)/7,4),+ROUND(SUM(#REF!,#REF!,#REF!,#REF!,#REF!,#REF!,#REF!)/7,4)),0)</f>
        <v>#REF!</v>
      </c>
      <c r="AX4" s="69" t="e">
        <f>+IF(#REF!&lt;=Ostatni_rok_analizy,IF(#REF!&lt;=2025,ROUND(SUM(#REF!,#REF!,#REF!,#REF!,#REF!,#REF!,#REF!)/7,4),+ROUND(SUM(#REF!,#REF!,#REF!,#REF!,#REF!,#REF!,#REF!)/7,4)),0)</f>
        <v>#REF!</v>
      </c>
      <c r="AY4" s="69" t="e">
        <f>+IF(#REF!&lt;=Ostatni_rok_analizy,IF(#REF!&lt;=2025,ROUND(SUM(#REF!,#REF!,#REF!,#REF!,#REF!,#REF!,#REF!)/7,4),+ROUND(SUM(#REF!,#REF!,#REF!,#REF!,#REF!,#REF!,#REF!)/7,4)),0)</f>
        <v>#REF!</v>
      </c>
      <c r="AZ4" s="69" t="e">
        <f>+IF(#REF!&lt;=Ostatni_rok_analizy,IF(#REF!&lt;=2025,ROUND(SUM(#REF!,#REF!,#REF!,#REF!,#REF!,#REF!,#REF!)/7,4),+ROUND(SUM(#REF!,#REF!,#REF!,#REF!,#REF!,#REF!,#REF!)/7,4)),0)</f>
        <v>#REF!</v>
      </c>
      <c r="BA4" s="69" t="e">
        <f>+IF(#REF!&lt;=Ostatni_rok_analizy,IF(#REF!&lt;=2025,ROUND(SUM(#REF!,#REF!,#REF!,#REF!,#REF!,#REF!,#REF!)/7,4),+ROUND(SUM(#REF!,#REF!,#REF!,#REF!,#REF!,#REF!,#REF!)/7,4)),0)</f>
        <v>#REF!</v>
      </c>
    </row>
    <row r="5" spans="1:53" ht="34.5" hidden="1" outlineLevel="3">
      <c r="A5" s="18" t="s">
        <v>25</v>
      </c>
      <c r="B5" s="18" t="s">
        <v>25</v>
      </c>
      <c r="C5" s="67" t="s">
        <v>209</v>
      </c>
      <c r="D5" s="106" t="s">
        <v>298</v>
      </c>
      <c r="E5" s="105" t="s">
        <v>262</v>
      </c>
      <c r="F5" s="68" t="s">
        <v>25</v>
      </c>
      <c r="G5" s="68" t="s">
        <v>25</v>
      </c>
      <c r="H5" s="68" t="s">
        <v>25</v>
      </c>
      <c r="I5" s="68" t="s">
        <v>25</v>
      </c>
      <c r="J5" s="68" t="s">
        <v>25</v>
      </c>
      <c r="K5" s="68" t="s">
        <v>25</v>
      </c>
      <c r="L5" s="68" t="s">
        <v>25</v>
      </c>
      <c r="M5" s="101" t="s">
        <v>25</v>
      </c>
      <c r="N5" s="69" t="e">
        <f>+IF(#REF!&lt;=Ostatni_rok_analizy,IF(#REF!&lt;=2025,+ROUND(SUM(#REF!,#REF!,#REF!,#REF!,#REF!,#REF!,#REF!)/7,4),+ROUND(SUM(#REF!,#REF!,#REF!,#REF!,#REF!,#REF!,#REF!)/7,4)),0)</f>
        <v>#REF!</v>
      </c>
      <c r="O5" s="69" t="e">
        <f>+IF(#REF!&lt;=Ostatni_rok_analizy,IF(#REF!&lt;=2025,+ROUND(SUM(#REF!,#REF!,#REF!,#REF!,#REF!,#REF!,#REF!)/7,4),+ROUND(SUM(#REF!,#REF!,#REF!,#REF!,#REF!,#REF!,#REF!)/7,4)),0)</f>
        <v>#REF!</v>
      </c>
      <c r="P5" s="69" t="e">
        <f>+IF(#REF!&lt;=Ostatni_rok_analizy,IF(#REF!&lt;=2025,+ROUND(SUM(#REF!,#REF!,#REF!,#REF!,#REF!,#REF!,#REF!)/7,4),+ROUND(SUM(#REF!,#REF!,#REF!,#REF!,#REF!,#REF!,#REF!)/7,4)),0)</f>
        <v>#REF!</v>
      </c>
      <c r="Q5" s="69" t="e">
        <f>+IF(#REF!&lt;=Ostatni_rok_analizy,IF(#REF!&lt;=2025,+ROUND(SUM(#REF!,#REF!,#REF!,#REF!,#REF!,#REF!,#REF!)/7,4),+ROUND(SUM(#REF!,#REF!,#REF!,#REF!,#REF!,#REF!,#REF!)/7,4)),0)</f>
        <v>#REF!</v>
      </c>
      <c r="R5" s="69" t="e">
        <f>+IF(#REF!&lt;=Ostatni_rok_analizy,IF(#REF!&lt;=2025,+ROUND(SUM(#REF!,#REF!,#REF!,#REF!,#REF!,#REF!,#REF!)/7,4),+ROUND(SUM(#REF!,#REF!,#REF!,#REF!,#REF!,#REF!,#REF!)/7,4)),0)</f>
        <v>#REF!</v>
      </c>
      <c r="S5" s="69" t="e">
        <f>+IF(#REF!&lt;=Ostatni_rok_analizy,IF(#REF!&lt;=2025,+ROUND(SUM(#REF!,#REF!,#REF!,#REF!,#REF!,#REF!,#REF!)/7,4),+ROUND(SUM(#REF!,#REF!,#REF!,#REF!,#REF!,#REF!,#REF!)/7,4)),0)</f>
        <v>#REF!</v>
      </c>
      <c r="T5" s="69" t="e">
        <f>+IF(#REF!&lt;=Ostatni_rok_analizy,IF(#REF!&lt;=2025,+ROUND(SUM(#REF!,#REF!,#REF!,#REF!,#REF!,#REF!,#REF!)/7,4),+ROUND(SUM(#REF!,#REF!,#REF!,#REF!,#REF!,#REF!,#REF!)/7,4)),0)</f>
        <v>#REF!</v>
      </c>
      <c r="U5" s="69" t="e">
        <f>+IF(#REF!&lt;=Ostatni_rok_analizy,IF(#REF!&lt;=2025,+ROUND(SUM(#REF!,#REF!,#REF!,#REF!,#REF!,#REF!,#REF!)/7,4),+ROUND(SUM(#REF!,#REF!,#REF!,#REF!,#REF!,#REF!,#REF!)/7,4)),0)</f>
        <v>#REF!</v>
      </c>
      <c r="V5" s="69" t="e">
        <f>+IF(#REF!&lt;=Ostatni_rok_analizy,IF(#REF!&lt;=2025,+ROUND(SUM(#REF!,#REF!,#REF!,#REF!,#REF!,#REF!,#REF!)/7,4),+ROUND(SUM(#REF!,#REF!,#REF!,#REF!,#REF!,#REF!,#REF!)/7,4)),0)</f>
        <v>#REF!</v>
      </c>
      <c r="W5" s="69" t="e">
        <f>+IF(#REF!&lt;=Ostatni_rok_analizy,IF(#REF!&lt;=2025,+ROUND(SUM(#REF!,#REF!,#REF!,#REF!,#REF!,#REF!,#REF!)/7,4),+ROUND(SUM(#REF!,#REF!,#REF!,#REF!,#REF!,#REF!,#REF!)/7,4)),0)</f>
        <v>#REF!</v>
      </c>
      <c r="X5" s="69" t="e">
        <f>+IF(#REF!&lt;=Ostatni_rok_analizy,IF(#REF!&lt;=2025,+ROUND(SUM(#REF!,#REF!,#REF!,#REF!,#REF!,#REF!,#REF!)/7,4),+ROUND(SUM(#REF!,#REF!,#REF!,#REF!,#REF!,#REF!,#REF!)/7,4)),0)</f>
        <v>#REF!</v>
      </c>
      <c r="Y5" s="69" t="e">
        <f>+IF(#REF!&lt;=Ostatni_rok_analizy,IF(#REF!&lt;=2025,+ROUND(SUM(#REF!,#REF!,#REF!,#REF!,#REF!,#REF!,#REF!)/7,4),+ROUND(SUM(#REF!,#REF!,#REF!,#REF!,#REF!,#REF!,#REF!)/7,4)),0)</f>
        <v>#REF!</v>
      </c>
      <c r="Z5" s="69" t="e">
        <f>+IF(#REF!&lt;=Ostatni_rok_analizy,IF(#REF!&lt;=2025,+ROUND(SUM(#REF!,#REF!,#REF!,#REF!,#REF!,#REF!,#REF!)/7,4),+ROUND(SUM(#REF!,#REF!,#REF!,#REF!,#REF!,#REF!,#REF!)/7,4)),0)</f>
        <v>#REF!</v>
      </c>
      <c r="AA5" s="69" t="e">
        <f>+IF(#REF!&lt;=Ostatni_rok_analizy,IF(#REF!&lt;=2025,+ROUND(SUM(#REF!,#REF!,#REF!,#REF!,#REF!,#REF!,#REF!)/7,4),+ROUND(SUM(#REF!,#REF!,#REF!,#REF!,#REF!,#REF!,#REF!)/7,4)),0)</f>
        <v>#REF!</v>
      </c>
      <c r="AB5" s="69" t="e">
        <f>+IF(#REF!&lt;=Ostatni_rok_analizy,IF(#REF!&lt;=2025,+ROUND(SUM(#REF!,#REF!,#REF!,#REF!,#REF!,#REF!,#REF!)/7,4),+ROUND(SUM(#REF!,#REF!,#REF!,#REF!,#REF!,#REF!,#REF!)/7,4)),0)</f>
        <v>#REF!</v>
      </c>
      <c r="AC5" s="69" t="e">
        <f>+IF(#REF!&lt;=Ostatni_rok_analizy,IF(#REF!&lt;=2025,+ROUND(SUM(#REF!,#REF!,#REF!,#REF!,#REF!,#REF!,#REF!)/7,4),+ROUND(SUM(#REF!,#REF!,#REF!,#REF!,#REF!,#REF!,#REF!)/7,4)),0)</f>
        <v>#REF!</v>
      </c>
      <c r="AD5" s="69" t="e">
        <f>+IF(#REF!&lt;=Ostatni_rok_analizy,IF(#REF!&lt;=2025,+ROUND(SUM(#REF!,#REF!,#REF!,#REF!,#REF!,#REF!,#REF!)/7,4),+ROUND(SUM(#REF!,#REF!,#REF!,#REF!,#REF!,#REF!,#REF!)/7,4)),0)</f>
        <v>#REF!</v>
      </c>
      <c r="AE5" s="69" t="e">
        <f>+IF(#REF!&lt;=Ostatni_rok_analizy,IF(#REF!&lt;=2025,+ROUND(SUM(#REF!,#REF!,#REF!,#REF!,#REF!,#REF!,#REF!)/7,4),+ROUND(SUM(#REF!,#REF!,#REF!,#REF!,#REF!,#REF!,#REF!)/7,4)),0)</f>
        <v>#REF!</v>
      </c>
      <c r="AF5" s="69" t="e">
        <f>+IF(#REF!&lt;=Ostatni_rok_analizy,IF(#REF!&lt;=2025,+ROUND(SUM(#REF!,#REF!,#REF!,#REF!,#REF!,#REF!,#REF!)/7,4),+ROUND(SUM(#REF!,#REF!,#REF!,#REF!,#REF!,#REF!,#REF!)/7,4)),0)</f>
        <v>#REF!</v>
      </c>
      <c r="AG5" s="69" t="e">
        <f>+IF(#REF!&lt;=Ostatni_rok_analizy,IF(#REF!&lt;=2025,+ROUND(SUM(#REF!,#REF!,#REF!,#REF!,#REF!,#REF!,#REF!)/7,4),+ROUND(SUM(#REF!,#REF!,#REF!,#REF!,#REF!,#REF!,#REF!)/7,4)),0)</f>
        <v>#REF!</v>
      </c>
      <c r="AH5" s="69" t="e">
        <f>+IF(#REF!&lt;=Ostatni_rok_analizy,IF(#REF!&lt;=2025,+ROUND(SUM(#REF!,#REF!,#REF!,#REF!,#REF!,#REF!,#REF!)/7,4),+ROUND(SUM(#REF!,#REF!,#REF!,#REF!,#REF!,#REF!,#REF!)/7,4)),0)</f>
        <v>#REF!</v>
      </c>
      <c r="AI5" s="69" t="e">
        <f>+IF(#REF!&lt;=Ostatni_rok_analizy,IF(#REF!&lt;=2025,+ROUND(SUM(#REF!,#REF!,#REF!,#REF!,#REF!,#REF!,#REF!)/7,4),+ROUND(SUM(#REF!,#REF!,#REF!,#REF!,#REF!,#REF!,#REF!)/7,4)),0)</f>
        <v>#REF!</v>
      </c>
      <c r="AJ5" s="69" t="e">
        <f>+IF(#REF!&lt;=Ostatni_rok_analizy,IF(#REF!&lt;=2025,+ROUND(SUM(#REF!,#REF!,#REF!,#REF!,#REF!,#REF!,#REF!)/7,4),+ROUND(SUM(#REF!,#REF!,#REF!,#REF!,#REF!,#REF!,#REF!)/7,4)),0)</f>
        <v>#REF!</v>
      </c>
      <c r="AK5" s="69" t="e">
        <f>+IF(#REF!&lt;=Ostatni_rok_analizy,IF(#REF!&lt;=2025,+ROUND(SUM(#REF!,#REF!,#REF!,#REF!,#REF!,#REF!,#REF!)/7,4),+ROUND(SUM(#REF!,#REF!,#REF!,#REF!,#REF!,#REF!,#REF!)/7,4)),0)</f>
        <v>#REF!</v>
      </c>
      <c r="AL5" s="69" t="e">
        <f>+IF(#REF!&lt;=Ostatni_rok_analizy,IF(#REF!&lt;=2025,+ROUND(SUM(#REF!,#REF!,#REF!,#REF!,#REF!,#REF!,#REF!)/7,4),+ROUND(SUM(#REF!,#REF!,#REF!,#REF!,#REF!,#REF!,#REF!)/7,4)),0)</f>
        <v>#REF!</v>
      </c>
      <c r="AM5" s="69" t="e">
        <f>+IF(#REF!&lt;=Ostatni_rok_analizy,IF(#REF!&lt;=2025,+ROUND(SUM(#REF!,#REF!,#REF!,#REF!,#REF!,#REF!,#REF!)/7,4),+ROUND(SUM(#REF!,#REF!,#REF!,#REF!,#REF!,#REF!,#REF!)/7,4)),0)</f>
        <v>#REF!</v>
      </c>
      <c r="AN5" s="69" t="e">
        <f>+IF(#REF!&lt;=Ostatni_rok_analizy,IF(#REF!&lt;=2025,+ROUND(SUM(#REF!,#REF!,#REF!,#REF!,#REF!,#REF!,#REF!)/7,4),+ROUND(SUM(#REF!,#REF!,#REF!,#REF!,#REF!,#REF!,#REF!)/7,4)),0)</f>
        <v>#REF!</v>
      </c>
      <c r="AO5" s="69" t="e">
        <f>+IF(#REF!&lt;=Ostatni_rok_analizy,IF(#REF!&lt;=2025,+ROUND(SUM(#REF!,#REF!,#REF!,#REF!,#REF!,#REF!,#REF!)/7,4),+ROUND(SUM(#REF!,#REF!,#REF!,#REF!,#REF!,#REF!,#REF!)/7,4)),0)</f>
        <v>#REF!</v>
      </c>
      <c r="AP5" s="69" t="e">
        <f>+IF(#REF!&lt;=Ostatni_rok_analizy,IF(#REF!&lt;=2025,+ROUND(SUM(#REF!,#REF!,#REF!,#REF!,#REF!,#REF!,#REF!)/7,4),+ROUND(SUM(#REF!,#REF!,#REF!,#REF!,#REF!,#REF!,#REF!)/7,4)),0)</f>
        <v>#REF!</v>
      </c>
      <c r="AQ5" s="69" t="e">
        <f>+IF(#REF!&lt;=Ostatni_rok_analizy,IF(#REF!&lt;=2025,+ROUND(SUM(#REF!,#REF!,#REF!,#REF!,#REF!,#REF!,#REF!)/7,4),+ROUND(SUM(#REF!,#REF!,#REF!,#REF!,#REF!,#REF!,#REF!)/7,4)),0)</f>
        <v>#REF!</v>
      </c>
      <c r="AR5" s="69" t="e">
        <f>+IF(#REF!&lt;=Ostatni_rok_analizy,IF(#REF!&lt;=2025,+ROUND(SUM(#REF!,#REF!,#REF!,#REF!,#REF!,#REF!,#REF!)/7,4),+ROUND(SUM(#REF!,#REF!,#REF!,#REF!,#REF!,#REF!,#REF!)/7,4)),0)</f>
        <v>#REF!</v>
      </c>
      <c r="AS5" s="69" t="e">
        <f>+IF(#REF!&lt;=Ostatni_rok_analizy,IF(#REF!&lt;=2025,+ROUND(SUM(#REF!,#REF!,#REF!,#REF!,#REF!,#REF!,#REF!)/7,4),+ROUND(SUM(#REF!,#REF!,#REF!,#REF!,#REF!,#REF!,#REF!)/7,4)),0)</f>
        <v>#REF!</v>
      </c>
      <c r="AT5" s="69" t="e">
        <f>+IF(#REF!&lt;=Ostatni_rok_analizy,IF(#REF!&lt;=2025,+ROUND(SUM(#REF!,#REF!,#REF!,#REF!,#REF!,#REF!,#REF!)/7,4),+ROUND(SUM(#REF!,#REF!,#REF!,#REF!,#REF!,#REF!,#REF!)/7,4)),0)</f>
        <v>#REF!</v>
      </c>
      <c r="AU5" s="69" t="e">
        <f>+IF(#REF!&lt;=Ostatni_rok_analizy,IF(#REF!&lt;=2025,+ROUND(SUM(#REF!,#REF!,#REF!,#REF!,#REF!,#REF!,#REF!)/7,4),+ROUND(SUM(#REF!,#REF!,#REF!,#REF!,#REF!,#REF!,#REF!)/7,4)),0)</f>
        <v>#REF!</v>
      </c>
      <c r="AV5" s="69" t="e">
        <f>+IF(#REF!&lt;=Ostatni_rok_analizy,IF(#REF!&lt;=2025,+ROUND(SUM(#REF!,#REF!,#REF!,#REF!,#REF!,#REF!,#REF!)/7,4),+ROUND(SUM(#REF!,#REF!,#REF!,#REF!,#REF!,#REF!,#REF!)/7,4)),0)</f>
        <v>#REF!</v>
      </c>
      <c r="AW5" s="69" t="e">
        <f>+IF(#REF!&lt;=Ostatni_rok_analizy,IF(#REF!&lt;=2025,+ROUND(SUM(#REF!,#REF!,#REF!,#REF!,#REF!,#REF!,#REF!)/7,4),+ROUND(SUM(#REF!,#REF!,#REF!,#REF!,#REF!,#REF!,#REF!)/7,4)),0)</f>
        <v>#REF!</v>
      </c>
      <c r="AX5" s="69" t="e">
        <f>+IF(#REF!&lt;=Ostatni_rok_analizy,IF(#REF!&lt;=2025,+ROUND(SUM(#REF!,#REF!,#REF!,#REF!,#REF!,#REF!,#REF!)/7,4),+ROUND(SUM(#REF!,#REF!,#REF!,#REF!,#REF!,#REF!,#REF!)/7,4)),0)</f>
        <v>#REF!</v>
      </c>
      <c r="AY5" s="69" t="e">
        <f>+IF(#REF!&lt;=Ostatni_rok_analizy,IF(#REF!&lt;=2025,+ROUND(SUM(#REF!,#REF!,#REF!,#REF!,#REF!,#REF!,#REF!)/7,4),+ROUND(SUM(#REF!,#REF!,#REF!,#REF!,#REF!,#REF!,#REF!)/7,4)),0)</f>
        <v>#REF!</v>
      </c>
      <c r="AZ5" s="69" t="e">
        <f>+IF(#REF!&lt;=Ostatni_rok_analizy,IF(#REF!&lt;=2025,+ROUND(SUM(#REF!,#REF!,#REF!,#REF!,#REF!,#REF!,#REF!)/7,4),+ROUND(SUM(#REF!,#REF!,#REF!,#REF!,#REF!,#REF!,#REF!)/7,4)),0)</f>
        <v>#REF!</v>
      </c>
      <c r="BA5" s="69" t="e">
        <f>+IF(#REF!&lt;=Ostatni_rok_analizy,IF(#REF!&lt;=2025,+ROUND(SUM(#REF!,#REF!,#REF!,#REF!,#REF!,#REF!,#REF!)/7,4),+ROUND(SUM(#REF!,#REF!,#REF!,#REF!,#REF!,#REF!,#REF!)/7,4)),0)</f>
        <v>#REF!</v>
      </c>
    </row>
    <row r="6" spans="1:53" hidden="1" outlineLevel="1" collapsed="1">
      <c r="A6" s="18"/>
      <c r="B6" s="18"/>
      <c r="C6" s="1"/>
      <c r="D6" s="93"/>
      <c r="E6" s="100" t="s">
        <v>368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3" ht="34.5" hidden="1" outlineLevel="2">
      <c r="A7" s="18" t="s">
        <v>25</v>
      </c>
      <c r="B7" s="18" t="s">
        <v>25</v>
      </c>
      <c r="C7" s="67" t="s">
        <v>231</v>
      </c>
      <c r="D7" s="107" t="s">
        <v>297</v>
      </c>
      <c r="E7" s="104" t="s">
        <v>261</v>
      </c>
      <c r="F7" s="68" t="s">
        <v>25</v>
      </c>
      <c r="G7" s="68" t="s">
        <v>25</v>
      </c>
      <c r="H7" s="68" t="s">
        <v>25</v>
      </c>
      <c r="I7" s="68" t="s">
        <v>25</v>
      </c>
      <c r="J7" s="68" t="s">
        <v>25</v>
      </c>
      <c r="K7" s="68" t="s">
        <v>25</v>
      </c>
      <c r="L7" s="68" t="s">
        <v>25</v>
      </c>
      <c r="M7" s="101" t="s">
        <v>25</v>
      </c>
      <c r="N7" s="69" t="e">
        <f>+IF(#REF!&lt;=2025,ROUND(SUM(#REF!,#REF!,#REF!)/3,4),7)</f>
        <v>#REF!</v>
      </c>
      <c r="O7" s="69" t="e">
        <f>+IF(#REF!&lt;=2025,ROUND(SUM(#REF!,#REF!,#REF!)/3,4),7)</f>
        <v>#REF!</v>
      </c>
      <c r="P7" s="69" t="e">
        <f>+IF(#REF!&lt;=2025,ROUND(SUM(#REF!,#REF!,#REF!)/3,4),7)</f>
        <v>#REF!</v>
      </c>
      <c r="Q7" s="69" t="e">
        <f>+IF(#REF!&lt;=2025,ROUND(SUM(#REF!,#REF!,#REF!)/3,4),7)</f>
        <v>#REF!</v>
      </c>
      <c r="R7" s="69" t="e">
        <f>+IF(#REF!&lt;=Ostatni_rok_analizy,IF(#REF!&lt;=2025,ROUND(SUM(#REF!,#REF!,#REF!)/3,4),+ROUND(SUM(#REF!,#REF!,#REF!,#REF!,#REF!,#REF!,#REF!)/7,4)),0)</f>
        <v>#REF!</v>
      </c>
      <c r="S7" s="69" t="e">
        <f>+IF(#REF!&lt;=Ostatni_rok_analizy,IF(#REF!&lt;=2025,ROUND(SUM(#REF!,#REF!,#REF!)/3,4),+ROUND(SUM(#REF!,#REF!,#REF!,#REF!,#REF!,#REF!,#REF!)/7,4)),0)</f>
        <v>#REF!</v>
      </c>
      <c r="T7" s="69" t="e">
        <f>+IF(#REF!&lt;=Ostatni_rok_analizy,IF(#REF!&lt;=2025,ROUND(SUM(#REF!,#REF!,#REF!)/3,4),+ROUND(SUM(#REF!,#REF!,#REF!,#REF!,#REF!,#REF!,#REF!)/7,4)),0)</f>
        <v>#REF!</v>
      </c>
      <c r="U7" s="69" t="e">
        <f>+IF(#REF!&lt;=Ostatni_rok_analizy,IF(#REF!&lt;=2025,ROUND(SUM(#REF!,#REF!,#REF!)/3,4),+ROUND(SUM(#REF!,#REF!,#REF!,#REF!,#REF!,#REF!,#REF!)/7,4)),0)</f>
        <v>#REF!</v>
      </c>
      <c r="V7" s="69" t="e">
        <f>+IF(#REF!&lt;=Ostatni_rok_analizy,IF(#REF!&lt;=2025,ROUND(SUM(#REF!,#REF!,#REF!)/3,4),+ROUND(SUM(#REF!,#REF!,#REF!,#REF!,#REF!,#REF!,#REF!)/7,4)),0)</f>
        <v>#REF!</v>
      </c>
      <c r="W7" s="69" t="e">
        <f>+IF(#REF!&lt;=Ostatni_rok_analizy,IF(#REF!&lt;=2025,ROUND(SUM(#REF!,#REF!,#REF!)/3,4),+ROUND(SUM(#REF!,#REF!,#REF!,#REF!,#REF!,#REF!,#REF!)/7,4)),0)</f>
        <v>#REF!</v>
      </c>
      <c r="X7" s="69" t="e">
        <f>+IF(#REF!&lt;=Ostatni_rok_analizy,IF(#REF!&lt;=2025,ROUND(SUM(#REF!,#REF!,#REF!)/3,4),+ROUND(SUM(#REF!,#REF!,#REF!,#REF!,#REF!,#REF!,#REF!)/7,4)),0)</f>
        <v>#REF!</v>
      </c>
      <c r="Y7" s="69" t="e">
        <f>+IF(#REF!&lt;=Ostatni_rok_analizy,IF(#REF!&lt;=2025,ROUND(SUM(#REF!,#REF!,#REF!)/3,4),+ROUND(SUM(#REF!,#REF!,#REF!,#REF!,#REF!,#REF!,#REF!)/7,4)),0)</f>
        <v>#REF!</v>
      </c>
      <c r="Z7" s="69" t="e">
        <f>+IF(#REF!&lt;=Ostatni_rok_analizy,IF(#REF!&lt;=2025,ROUND(SUM(#REF!,#REF!,#REF!)/3,4),+ROUND(SUM(#REF!,#REF!,#REF!,#REF!,#REF!,#REF!,#REF!)/7,4)),0)</f>
        <v>#REF!</v>
      </c>
      <c r="AA7" s="69" t="e">
        <f>+IF(#REF!&lt;=Ostatni_rok_analizy,IF(#REF!&lt;=2025,ROUND(SUM(#REF!,#REF!,#REF!)/3,4),+ROUND(SUM(#REF!,#REF!,#REF!,#REF!,#REF!,#REF!,#REF!)/7,4)),0)</f>
        <v>#REF!</v>
      </c>
      <c r="AB7" s="69" t="e">
        <f>+IF(#REF!&lt;=Ostatni_rok_analizy,IF(#REF!&lt;=2025,ROUND(SUM(#REF!,#REF!,#REF!)/3,4),+ROUND(SUM(#REF!,#REF!,#REF!,#REF!,#REF!,#REF!,#REF!)/7,4)),0)</f>
        <v>#REF!</v>
      </c>
      <c r="AC7" s="69" t="e">
        <f>+IF(#REF!&lt;=Ostatni_rok_analizy,IF(#REF!&lt;=2025,ROUND(SUM(#REF!,#REF!,#REF!)/3,4),+ROUND(SUM(#REF!,#REF!,#REF!,#REF!,#REF!,#REF!,#REF!)/7,4)),0)</f>
        <v>#REF!</v>
      </c>
      <c r="AD7" s="69" t="e">
        <f>+IF(#REF!&lt;=Ostatni_rok_analizy,IF(#REF!&lt;=2025,ROUND(SUM(#REF!,#REF!,#REF!)/3,4),+ROUND(SUM(#REF!,#REF!,#REF!,#REF!,#REF!,#REF!,#REF!)/7,4)),0)</f>
        <v>#REF!</v>
      </c>
      <c r="AE7" s="69" t="e">
        <f>+IF(#REF!&lt;=Ostatni_rok_analizy,IF(#REF!&lt;=2025,ROUND(SUM(#REF!,#REF!,#REF!)/3,4),+ROUND(SUM(#REF!,#REF!,#REF!,#REF!,#REF!,#REF!,#REF!)/7,4)),0)</f>
        <v>#REF!</v>
      </c>
      <c r="AF7" s="69" t="e">
        <f>+IF(#REF!&lt;=Ostatni_rok_analizy,IF(#REF!&lt;=2025,ROUND(SUM(#REF!,#REF!,#REF!)/3,4),+ROUND(SUM(#REF!,#REF!,#REF!,#REF!,#REF!,#REF!,#REF!)/7,4)),0)</f>
        <v>#REF!</v>
      </c>
      <c r="AG7" s="69" t="e">
        <f>+IF(#REF!&lt;=Ostatni_rok_analizy,IF(#REF!&lt;=2025,ROUND(SUM(#REF!,#REF!,#REF!)/3,4),+ROUND(SUM(#REF!,#REF!,#REF!,#REF!,#REF!,#REF!,#REF!)/7,4)),0)</f>
        <v>#REF!</v>
      </c>
      <c r="AH7" s="69" t="e">
        <f>+IF(#REF!&lt;=Ostatni_rok_analizy,IF(#REF!&lt;=2025,ROUND(SUM(#REF!,#REF!,#REF!)/3,4),+ROUND(SUM(#REF!,#REF!,#REF!,#REF!,#REF!,#REF!,#REF!)/7,4)),0)</f>
        <v>#REF!</v>
      </c>
      <c r="AI7" s="69" t="e">
        <f>+IF(#REF!&lt;=Ostatni_rok_analizy,IF(#REF!&lt;=2025,ROUND(SUM(#REF!,#REF!,#REF!)/3,4),+ROUND(SUM(#REF!,#REF!,#REF!,#REF!,#REF!,#REF!,#REF!)/7,4)),0)</f>
        <v>#REF!</v>
      </c>
      <c r="AJ7" s="69" t="e">
        <f>+IF(#REF!&lt;=Ostatni_rok_analizy,IF(#REF!&lt;=2025,ROUND(SUM(#REF!,#REF!,#REF!)/3,4),+ROUND(SUM(#REF!,#REF!,#REF!,#REF!,#REF!,#REF!,#REF!)/7,4)),0)</f>
        <v>#REF!</v>
      </c>
      <c r="AK7" s="69" t="e">
        <f>+IF(#REF!&lt;=Ostatni_rok_analizy,IF(#REF!&lt;=2025,ROUND(SUM(#REF!,#REF!,#REF!)/3,4),+ROUND(SUM(#REF!,#REF!,#REF!,#REF!,#REF!,#REF!,#REF!)/7,4)),0)</f>
        <v>#REF!</v>
      </c>
      <c r="AL7" s="69" t="e">
        <f>+IF(#REF!&lt;=Ostatni_rok_analizy,IF(#REF!&lt;=2025,ROUND(SUM(#REF!,#REF!,#REF!)/3,4),+ROUND(SUM(#REF!,#REF!,#REF!,#REF!,#REF!,#REF!,#REF!)/7,4)),0)</f>
        <v>#REF!</v>
      </c>
      <c r="AM7" s="69" t="e">
        <f>+IF(#REF!&lt;=Ostatni_rok_analizy,IF(#REF!&lt;=2025,ROUND(SUM(#REF!,#REF!,#REF!)/3,4),+ROUND(SUM(#REF!,#REF!,#REF!,#REF!,#REF!,#REF!,#REF!)/7,4)),0)</f>
        <v>#REF!</v>
      </c>
      <c r="AN7" s="69" t="e">
        <f>+IF(#REF!&lt;=Ostatni_rok_analizy,IF(#REF!&lt;=2025,ROUND(SUM(#REF!,#REF!,#REF!)/3,4),+ROUND(SUM(#REF!,#REF!,#REF!,#REF!,#REF!,#REF!,#REF!)/7,4)),0)</f>
        <v>#REF!</v>
      </c>
      <c r="AO7" s="69" t="e">
        <f>+IF(#REF!&lt;=Ostatni_rok_analizy,IF(#REF!&lt;=2025,ROUND(SUM(#REF!,#REF!,#REF!)/3,4),+ROUND(SUM(#REF!,#REF!,#REF!,#REF!,#REF!,#REF!,#REF!)/7,4)),0)</f>
        <v>#REF!</v>
      </c>
      <c r="AP7" s="69" t="e">
        <f>+IF(#REF!&lt;=Ostatni_rok_analizy,IF(#REF!&lt;=2025,ROUND(SUM(#REF!,#REF!,#REF!)/3,4),+ROUND(SUM(#REF!,#REF!,#REF!,#REF!,#REF!,#REF!,#REF!)/7,4)),0)</f>
        <v>#REF!</v>
      </c>
      <c r="AQ7" s="69" t="e">
        <f>+IF(#REF!&lt;=Ostatni_rok_analizy,IF(#REF!&lt;=2025,ROUND(SUM(#REF!,#REF!,#REF!)/3,4),+ROUND(SUM(#REF!,#REF!,#REF!,#REF!,#REF!,#REF!,#REF!)/7,4)),0)</f>
        <v>#REF!</v>
      </c>
      <c r="AR7" s="69" t="e">
        <f>+IF(#REF!&lt;=Ostatni_rok_analizy,IF(#REF!&lt;=2025,ROUND(SUM(#REF!,#REF!,#REF!)/3,4),+ROUND(SUM(#REF!,#REF!,#REF!,#REF!,#REF!,#REF!,#REF!)/7,4)),0)</f>
        <v>#REF!</v>
      </c>
      <c r="AS7" s="69" t="e">
        <f>+IF(#REF!&lt;=Ostatni_rok_analizy,IF(#REF!&lt;=2025,ROUND(SUM(#REF!,#REF!,#REF!)/3,4),+ROUND(SUM(#REF!,#REF!,#REF!,#REF!,#REF!,#REF!,#REF!)/7,4)),0)</f>
        <v>#REF!</v>
      </c>
      <c r="AT7" s="69" t="e">
        <f>+IF(#REF!&lt;=Ostatni_rok_analizy,IF(#REF!&lt;=2025,ROUND(SUM(#REF!,#REF!,#REF!)/3,4),+ROUND(SUM(#REF!,#REF!,#REF!,#REF!,#REF!,#REF!,#REF!)/7,4)),0)</f>
        <v>#REF!</v>
      </c>
      <c r="AU7" s="69" t="e">
        <f>+IF(#REF!&lt;=Ostatni_rok_analizy,IF(#REF!&lt;=2025,ROUND(SUM(#REF!,#REF!,#REF!)/3,4),+ROUND(SUM(#REF!,#REF!,#REF!,#REF!,#REF!,#REF!,#REF!)/7,4)),0)</f>
        <v>#REF!</v>
      </c>
      <c r="AV7" s="69" t="e">
        <f>+IF(#REF!&lt;=Ostatni_rok_analizy,IF(#REF!&lt;=2025,ROUND(SUM(#REF!,#REF!,#REF!)/3,4),+ROUND(SUM(#REF!,#REF!,#REF!,#REF!,#REF!,#REF!,#REF!)/7,4)),0)</f>
        <v>#REF!</v>
      </c>
      <c r="AW7" s="69" t="e">
        <f>+IF(#REF!&lt;=Ostatni_rok_analizy,IF(#REF!&lt;=2025,ROUND(SUM(#REF!,#REF!,#REF!)/3,4),+ROUND(SUM(#REF!,#REF!,#REF!,#REF!,#REF!,#REF!,#REF!)/7,4)),0)</f>
        <v>#REF!</v>
      </c>
      <c r="AX7" s="69" t="e">
        <f>+IF(#REF!&lt;=Ostatni_rok_analizy,IF(#REF!&lt;=2025,ROUND(SUM(#REF!,#REF!,#REF!)/3,4),+ROUND(SUM(#REF!,#REF!,#REF!,#REF!,#REF!,#REF!,#REF!)/7,4)),0)</f>
        <v>#REF!</v>
      </c>
      <c r="AY7" s="69" t="e">
        <f>+IF(#REF!&lt;=Ostatni_rok_analizy,IF(#REF!&lt;=2025,ROUND(SUM(#REF!,#REF!,#REF!)/3,4),+ROUND(SUM(#REF!,#REF!,#REF!,#REF!,#REF!,#REF!,#REF!)/7,4)),0)</f>
        <v>#REF!</v>
      </c>
      <c r="AZ7" s="69" t="e">
        <f>+IF(#REF!&lt;=Ostatni_rok_analizy,IF(#REF!&lt;=2025,ROUND(SUM(#REF!,#REF!,#REF!)/3,4),+ROUND(SUM(#REF!,#REF!,#REF!,#REF!,#REF!,#REF!,#REF!)/7,4)),0)</f>
        <v>#REF!</v>
      </c>
      <c r="BA7" s="69" t="e">
        <f>+IF(#REF!&lt;=Ostatni_rok_analizy,IF(#REF!&lt;=2025,ROUND(SUM(#REF!,#REF!,#REF!)/3,4),+ROUND(SUM(#REF!,#REF!,#REF!,#REF!,#REF!,#REF!,#REF!)/7,4)),0)</f>
        <v>#REF!</v>
      </c>
    </row>
    <row r="8" spans="1:53" ht="34.5" hidden="1" outlineLevel="3">
      <c r="A8" s="18" t="s">
        <v>25</v>
      </c>
      <c r="B8" s="18" t="s">
        <v>25</v>
      </c>
      <c r="C8" s="67" t="s">
        <v>209</v>
      </c>
      <c r="D8" s="107" t="s">
        <v>298</v>
      </c>
      <c r="E8" s="105" t="s">
        <v>262</v>
      </c>
      <c r="F8" s="68" t="s">
        <v>25</v>
      </c>
      <c r="G8" s="68" t="s">
        <v>25</v>
      </c>
      <c r="H8" s="68" t="s">
        <v>25</v>
      </c>
      <c r="I8" s="68" t="s">
        <v>25</v>
      </c>
      <c r="J8" s="68" t="s">
        <v>25</v>
      </c>
      <c r="K8" s="68" t="s">
        <v>25</v>
      </c>
      <c r="L8" s="68" t="s">
        <v>25</v>
      </c>
      <c r="M8" s="101" t="s">
        <v>25</v>
      </c>
      <c r="N8" s="69" t="e">
        <f>+IF(#REF!&lt;=Ostatni_rok_analizy,IF(#REF!&lt;=2025,+ROUND(SUM(#REF!,#REF!,#REF!)/3,4),0),0)</f>
        <v>#REF!</v>
      </c>
      <c r="O8" s="69" t="e">
        <f>+IF(#REF!&lt;=Ostatni_rok_analizy,IF(#REF!&lt;=2025,+ROUND(SUM(#REF!,#REF!,#REF!)/3,4),0),0)</f>
        <v>#REF!</v>
      </c>
      <c r="P8" s="69" t="e">
        <f>+IF(#REF!&lt;=Ostatni_rok_analizy,IF(#REF!&lt;=2025,+ROUND(SUM(#REF!,#REF!,#REF!)/3,4),0),0)</f>
        <v>#REF!</v>
      </c>
      <c r="Q8" s="69" t="e">
        <f>+IF(#REF!&lt;=Ostatni_rok_analizy,IF(#REF!&lt;=2025,+ROUND(SUM(#REF!,#REF!,#REF!)/3,4),0),0)</f>
        <v>#REF!</v>
      </c>
      <c r="R8" s="69" t="e">
        <f>+IF(#REF!&lt;=Ostatni_rok_analizy,IF(#REF!&lt;=2025,+ROUND(SUM(#REF!,#REF!,#REF!)/3,4),+ROUND(SUM(#REF!,#REF!,#REF!,#REF!,#REF!,#REF!,#REF!)/7,4)),0)</f>
        <v>#REF!</v>
      </c>
      <c r="S8" s="69" t="e">
        <f>+IF(#REF!&lt;=Ostatni_rok_analizy,IF(#REF!&lt;=2025,+ROUND(SUM(#REF!,#REF!,#REF!)/3,4),+ROUND(SUM(#REF!,#REF!,#REF!,#REF!,#REF!,#REF!,#REF!)/7,4)),0)</f>
        <v>#REF!</v>
      </c>
      <c r="T8" s="69" t="e">
        <f>+IF(#REF!&lt;=Ostatni_rok_analizy,IF(#REF!&lt;=2025,+ROUND(SUM(#REF!,#REF!,#REF!)/3,4),+ROUND(SUM(#REF!,#REF!,#REF!,#REF!,#REF!,#REF!,#REF!)/7,4)),0)</f>
        <v>#REF!</v>
      </c>
      <c r="U8" s="69" t="e">
        <f>+IF(#REF!&lt;=Ostatni_rok_analizy,IF(#REF!&lt;=2025,+ROUND(SUM(#REF!,#REF!,#REF!)/3,4),+ROUND(SUM(#REF!,#REF!,#REF!,#REF!,#REF!,#REF!,#REF!)/7,4)),0)</f>
        <v>#REF!</v>
      </c>
      <c r="V8" s="69" t="e">
        <f>+IF(#REF!&lt;=Ostatni_rok_analizy,IF(#REF!&lt;=2025,+ROUND(SUM(#REF!,#REF!,#REF!)/3,4),+ROUND(SUM(#REF!,#REF!,#REF!,#REF!,#REF!,#REF!,#REF!)/7,4)),0)</f>
        <v>#REF!</v>
      </c>
      <c r="W8" s="69" t="e">
        <f>+IF(#REF!&lt;=Ostatni_rok_analizy,IF(#REF!&lt;=2025,+ROUND(SUM(#REF!,#REF!,#REF!)/3,4),+ROUND(SUM(#REF!,#REF!,#REF!,#REF!,#REF!,#REF!,#REF!)/7,4)),0)</f>
        <v>#REF!</v>
      </c>
      <c r="X8" s="69" t="e">
        <f>+IF(#REF!&lt;=Ostatni_rok_analizy,IF(#REF!&lt;=2025,+ROUND(SUM(#REF!,#REF!,#REF!)/3,4),+ROUND(SUM(#REF!,#REF!,#REF!,#REF!,#REF!,#REF!,#REF!)/7,4)),0)</f>
        <v>#REF!</v>
      </c>
      <c r="Y8" s="69" t="e">
        <f>+IF(#REF!&lt;=Ostatni_rok_analizy,IF(#REF!&lt;=2025,+ROUND(SUM(#REF!,#REF!,#REF!)/3,4),+ROUND(SUM(#REF!,#REF!,#REF!,#REF!,#REF!,#REF!,#REF!)/7,4)),0)</f>
        <v>#REF!</v>
      </c>
      <c r="Z8" s="69" t="e">
        <f>+IF(#REF!&lt;=Ostatni_rok_analizy,IF(#REF!&lt;=2025,+ROUND(SUM(#REF!,#REF!,#REF!)/3,4),+ROUND(SUM(#REF!,#REF!,#REF!,#REF!,#REF!,#REF!,#REF!)/7,4)),0)</f>
        <v>#REF!</v>
      </c>
      <c r="AA8" s="69" t="e">
        <f>+IF(#REF!&lt;=Ostatni_rok_analizy,IF(#REF!&lt;=2025,+ROUND(SUM(#REF!,#REF!,#REF!)/3,4),+ROUND(SUM(#REF!,#REF!,#REF!,#REF!,#REF!,#REF!,#REF!)/7,4)),0)</f>
        <v>#REF!</v>
      </c>
      <c r="AB8" s="69" t="e">
        <f>+IF(#REF!&lt;=Ostatni_rok_analizy,IF(#REF!&lt;=2025,+ROUND(SUM(#REF!,#REF!,#REF!)/3,4),+ROUND(SUM(#REF!,#REF!,#REF!,#REF!,#REF!,#REF!,#REF!)/7,4)),0)</f>
        <v>#REF!</v>
      </c>
      <c r="AC8" s="69" t="e">
        <f>+IF(#REF!&lt;=Ostatni_rok_analizy,IF(#REF!&lt;=2025,+ROUND(SUM(#REF!,#REF!,#REF!)/3,4),+ROUND(SUM(#REF!,#REF!,#REF!,#REF!,#REF!,#REF!,#REF!)/7,4)),0)</f>
        <v>#REF!</v>
      </c>
      <c r="AD8" s="69" t="e">
        <f>+IF(#REF!&lt;=Ostatni_rok_analizy,IF(#REF!&lt;=2025,+ROUND(SUM(#REF!,#REF!,#REF!)/3,4),+ROUND(SUM(#REF!,#REF!,#REF!,#REF!,#REF!,#REF!,#REF!)/7,4)),0)</f>
        <v>#REF!</v>
      </c>
      <c r="AE8" s="69" t="e">
        <f>+IF(#REF!&lt;=Ostatni_rok_analizy,IF(#REF!&lt;=2025,+ROUND(SUM(#REF!,#REF!,#REF!)/3,4),+ROUND(SUM(#REF!,#REF!,#REF!,#REF!,#REF!,#REF!,#REF!)/7,4)),0)</f>
        <v>#REF!</v>
      </c>
      <c r="AF8" s="69" t="e">
        <f>+IF(#REF!&lt;=Ostatni_rok_analizy,IF(#REF!&lt;=2025,+ROUND(SUM(#REF!,#REF!,#REF!)/3,4),+ROUND(SUM(#REF!,#REF!,#REF!,#REF!,#REF!,#REF!,#REF!)/7,4)),0)</f>
        <v>#REF!</v>
      </c>
      <c r="AG8" s="69" t="e">
        <f>+IF(#REF!&lt;=Ostatni_rok_analizy,IF(#REF!&lt;=2025,+ROUND(SUM(#REF!,#REF!,#REF!)/3,4),+ROUND(SUM(#REF!,#REF!,#REF!,#REF!,#REF!,#REF!,#REF!)/7,4)),0)</f>
        <v>#REF!</v>
      </c>
      <c r="AH8" s="69" t="e">
        <f>+IF(#REF!&lt;=Ostatni_rok_analizy,IF(#REF!&lt;=2025,+ROUND(SUM(#REF!,#REF!,#REF!)/3,4),+ROUND(SUM(#REF!,#REF!,#REF!,#REF!,#REF!,#REF!,#REF!)/7,4)),0)</f>
        <v>#REF!</v>
      </c>
      <c r="AI8" s="69" t="e">
        <f>+IF(#REF!&lt;=Ostatni_rok_analizy,IF(#REF!&lt;=2025,+ROUND(SUM(#REF!,#REF!,#REF!)/3,4),+ROUND(SUM(#REF!,#REF!,#REF!,#REF!,#REF!,#REF!,#REF!)/7,4)),0)</f>
        <v>#REF!</v>
      </c>
      <c r="AJ8" s="69" t="e">
        <f>+IF(#REF!&lt;=Ostatni_rok_analizy,IF(#REF!&lt;=2025,+ROUND(SUM(#REF!,#REF!,#REF!)/3,4),+ROUND(SUM(#REF!,#REF!,#REF!,#REF!,#REF!,#REF!,#REF!)/7,4)),0)</f>
        <v>#REF!</v>
      </c>
      <c r="AK8" s="69" t="e">
        <f>+IF(#REF!&lt;=Ostatni_rok_analizy,IF(#REF!&lt;=2025,+ROUND(SUM(#REF!,#REF!,#REF!)/3,4),+ROUND(SUM(#REF!,#REF!,#REF!,#REF!,#REF!,#REF!,#REF!)/7,4)),0)</f>
        <v>#REF!</v>
      </c>
      <c r="AL8" s="69" t="e">
        <f>+IF(#REF!&lt;=Ostatni_rok_analizy,IF(#REF!&lt;=2025,+ROUND(SUM(#REF!,#REF!,#REF!)/3,4),+ROUND(SUM(#REF!,#REF!,#REF!,#REF!,#REF!,#REF!,#REF!)/7,4)),0)</f>
        <v>#REF!</v>
      </c>
      <c r="AM8" s="69" t="e">
        <f>+IF(#REF!&lt;=Ostatni_rok_analizy,IF(#REF!&lt;=2025,+ROUND(SUM(#REF!,#REF!,#REF!)/3,4),+ROUND(SUM(#REF!,#REF!,#REF!,#REF!,#REF!,#REF!,#REF!)/7,4)),0)</f>
        <v>#REF!</v>
      </c>
      <c r="AN8" s="69" t="e">
        <f>+IF(#REF!&lt;=Ostatni_rok_analizy,IF(#REF!&lt;=2025,+ROUND(SUM(#REF!,#REF!,#REF!)/3,4),+ROUND(SUM(#REF!,#REF!,#REF!,#REF!,#REF!,#REF!,#REF!)/7,4)),0)</f>
        <v>#REF!</v>
      </c>
      <c r="AO8" s="69" t="e">
        <f>+IF(#REF!&lt;=Ostatni_rok_analizy,IF(#REF!&lt;=2025,+ROUND(SUM(#REF!,#REF!,#REF!)/3,4),+ROUND(SUM(#REF!,#REF!,#REF!,#REF!,#REF!,#REF!,#REF!)/7,4)),0)</f>
        <v>#REF!</v>
      </c>
      <c r="AP8" s="69" t="e">
        <f>+IF(#REF!&lt;=Ostatni_rok_analizy,IF(#REF!&lt;=2025,+ROUND(SUM(#REF!,#REF!,#REF!)/3,4),+ROUND(SUM(#REF!,#REF!,#REF!,#REF!,#REF!,#REF!,#REF!)/7,4)),0)</f>
        <v>#REF!</v>
      </c>
      <c r="AQ8" s="69" t="e">
        <f>+IF(#REF!&lt;=Ostatni_rok_analizy,IF(#REF!&lt;=2025,+ROUND(SUM(#REF!,#REF!,#REF!)/3,4),+ROUND(SUM(#REF!,#REF!,#REF!,#REF!,#REF!,#REF!,#REF!)/7,4)),0)</f>
        <v>#REF!</v>
      </c>
      <c r="AR8" s="69" t="e">
        <f>+IF(#REF!&lt;=Ostatni_rok_analizy,IF(#REF!&lt;=2025,+ROUND(SUM(#REF!,#REF!,#REF!)/3,4),+ROUND(SUM(#REF!,#REF!,#REF!,#REF!,#REF!,#REF!,#REF!)/7,4)),0)</f>
        <v>#REF!</v>
      </c>
      <c r="AS8" s="69" t="e">
        <f>+IF(#REF!&lt;=Ostatni_rok_analizy,IF(#REF!&lt;=2025,+ROUND(SUM(#REF!,#REF!,#REF!)/3,4),+ROUND(SUM(#REF!,#REF!,#REF!,#REF!,#REF!,#REF!,#REF!)/7,4)),0)</f>
        <v>#REF!</v>
      </c>
      <c r="AT8" s="69" t="e">
        <f>+IF(#REF!&lt;=Ostatni_rok_analizy,IF(#REF!&lt;=2025,+ROUND(SUM(#REF!,#REF!,#REF!)/3,4),+ROUND(SUM(#REF!,#REF!,#REF!,#REF!,#REF!,#REF!,#REF!)/7,4)),0)</f>
        <v>#REF!</v>
      </c>
      <c r="AU8" s="69" t="e">
        <f>+IF(#REF!&lt;=Ostatni_rok_analizy,IF(#REF!&lt;=2025,+ROUND(SUM(#REF!,#REF!,#REF!)/3,4),+ROUND(SUM(#REF!,#REF!,#REF!,#REF!,#REF!,#REF!,#REF!)/7,4)),0)</f>
        <v>#REF!</v>
      </c>
      <c r="AV8" s="69" t="e">
        <f>+IF(#REF!&lt;=Ostatni_rok_analizy,IF(#REF!&lt;=2025,+ROUND(SUM(#REF!,#REF!,#REF!)/3,4),+ROUND(SUM(#REF!,#REF!,#REF!,#REF!,#REF!,#REF!,#REF!)/7,4)),0)</f>
        <v>#REF!</v>
      </c>
      <c r="AW8" s="69" t="e">
        <f>+IF(#REF!&lt;=Ostatni_rok_analizy,IF(#REF!&lt;=2025,+ROUND(SUM(#REF!,#REF!,#REF!)/3,4),+ROUND(SUM(#REF!,#REF!,#REF!,#REF!,#REF!,#REF!,#REF!)/7,4)),0)</f>
        <v>#REF!</v>
      </c>
      <c r="AX8" s="69" t="e">
        <f>+IF(#REF!&lt;=Ostatni_rok_analizy,IF(#REF!&lt;=2025,+ROUND(SUM(#REF!,#REF!,#REF!)/3,4),+ROUND(SUM(#REF!,#REF!,#REF!,#REF!,#REF!,#REF!,#REF!)/7,4)),0)</f>
        <v>#REF!</v>
      </c>
      <c r="AY8" s="69" t="e">
        <f>+IF(#REF!&lt;=Ostatni_rok_analizy,IF(#REF!&lt;=2025,+ROUND(SUM(#REF!,#REF!,#REF!)/3,4),+ROUND(SUM(#REF!,#REF!,#REF!,#REF!,#REF!,#REF!,#REF!)/7,4)),0)</f>
        <v>#REF!</v>
      </c>
      <c r="AZ8" s="69" t="e">
        <f>+IF(#REF!&lt;=Ostatni_rok_analizy,IF(#REF!&lt;=2025,+ROUND(SUM(#REF!,#REF!,#REF!)/3,4),+ROUND(SUM(#REF!,#REF!,#REF!,#REF!,#REF!,#REF!,#REF!)/7,4)),0)</f>
        <v>#REF!</v>
      </c>
      <c r="BA8" s="69" t="e">
        <f>+IF(#REF!&lt;=Ostatni_rok_analizy,IF(#REF!&lt;=2025,+ROUND(SUM(#REF!,#REF!,#REF!)/3,4),+ROUND(SUM(#REF!,#REF!,#REF!,#REF!,#REF!,#REF!,#REF!)/7,4)),0)</f>
        <v>#REF!</v>
      </c>
    </row>
    <row r="9" spans="1:53" hidden="1" outlineLevel="1" collapsed="1"/>
    <row r="10" spans="1:53" hidden="1" outlineLevel="1"/>
    <row r="11" spans="1:53" hidden="1" outlineLevel="1"/>
    <row r="12" spans="1:53" collapsed="1">
      <c r="E12" s="13" t="s">
        <v>405</v>
      </c>
    </row>
    <row r="14" spans="1:53">
      <c r="A14" s="18"/>
      <c r="B14" s="18"/>
      <c r="D14" s="1"/>
      <c r="E14" s="103" t="s">
        <v>403</v>
      </c>
      <c r="F14" s="1"/>
      <c r="G14" s="1"/>
      <c r="H14" s="1"/>
      <c r="I14" s="1"/>
      <c r="J14" s="1"/>
      <c r="K14" s="1"/>
      <c r="L14" s="1"/>
      <c r="M14" s="1"/>
      <c r="N14" s="102" t="e">
        <f>+#REF!</f>
        <v>#REF!</v>
      </c>
      <c r="O14" s="102" t="e">
        <f>+#REF!</f>
        <v>#REF!</v>
      </c>
      <c r="P14" s="102" t="e">
        <f>+#REF!</f>
        <v>#REF!</v>
      </c>
      <c r="Q14" s="102" t="e">
        <f>+#REF!</f>
        <v>#REF!</v>
      </c>
      <c r="R14" s="102" t="e">
        <f>+#REF!</f>
        <v>#REF!</v>
      </c>
      <c r="S14" s="102" t="e">
        <f>+#REF!</f>
        <v>#REF!</v>
      </c>
      <c r="T14" s="102" t="e">
        <f>+#REF!</f>
        <v>#REF!</v>
      </c>
      <c r="U14" s="102" t="e">
        <f>+#REF!</f>
        <v>#REF!</v>
      </c>
      <c r="V14" s="102" t="e">
        <f>+#REF!</f>
        <v>#REF!</v>
      </c>
      <c r="W14" s="102" t="e">
        <f>+#REF!</f>
        <v>#REF!</v>
      </c>
      <c r="X14" s="102" t="e">
        <f>+#REF!</f>
        <v>#REF!</v>
      </c>
      <c r="Y14" s="102" t="e">
        <f>+#REF!</f>
        <v>#REF!</v>
      </c>
      <c r="Z14" s="102" t="e">
        <f>+#REF!</f>
        <v>#REF!</v>
      </c>
      <c r="AA14" s="102" t="e">
        <f>+#REF!</f>
        <v>#REF!</v>
      </c>
      <c r="AB14" s="102" t="e">
        <f>+#REF!</f>
        <v>#REF!</v>
      </c>
      <c r="AC14" s="102" t="e">
        <f>+#REF!</f>
        <v>#REF!</v>
      </c>
      <c r="AD14" s="102" t="e">
        <f>+#REF!</f>
        <v>#REF!</v>
      </c>
      <c r="AE14" s="102" t="e">
        <f>+#REF!</f>
        <v>#REF!</v>
      </c>
      <c r="AF14" s="102" t="e">
        <f>+#REF!</f>
        <v>#REF!</v>
      </c>
      <c r="AG14" s="102" t="e">
        <f>+#REF!</f>
        <v>#REF!</v>
      </c>
      <c r="AH14" s="102" t="e">
        <f>+#REF!</f>
        <v>#REF!</v>
      </c>
      <c r="AI14" s="102" t="e">
        <f>+#REF!</f>
        <v>#REF!</v>
      </c>
      <c r="AJ14" s="102" t="e">
        <f>+#REF!</f>
        <v>#REF!</v>
      </c>
      <c r="AK14" s="102" t="e">
        <f>+#REF!</f>
        <v>#REF!</v>
      </c>
      <c r="AL14" s="102" t="e">
        <f>+#REF!</f>
        <v>#REF!</v>
      </c>
      <c r="AM14" s="102" t="e">
        <f>+#REF!</f>
        <v>#REF!</v>
      </c>
      <c r="AN14" s="102" t="e">
        <f>+#REF!</f>
        <v>#REF!</v>
      </c>
      <c r="AO14" s="102" t="e">
        <f>+#REF!</f>
        <v>#REF!</v>
      </c>
      <c r="AP14" s="102" t="e">
        <f>+#REF!</f>
        <v>#REF!</v>
      </c>
      <c r="AQ14" s="102" t="e">
        <f>+#REF!</f>
        <v>#REF!</v>
      </c>
      <c r="AR14" s="102" t="e">
        <f>+#REF!</f>
        <v>#REF!</v>
      </c>
      <c r="AS14" s="102" t="e">
        <f>+#REF!</f>
        <v>#REF!</v>
      </c>
      <c r="AT14" s="102" t="e">
        <f>+#REF!</f>
        <v>#REF!</v>
      </c>
      <c r="AU14" s="102" t="e">
        <f>+#REF!</f>
        <v>#REF!</v>
      </c>
      <c r="AV14" s="102" t="e">
        <f>+#REF!</f>
        <v>#REF!</v>
      </c>
      <c r="AW14" s="102" t="e">
        <f>+#REF!</f>
        <v>#REF!</v>
      </c>
      <c r="AX14" s="102" t="e">
        <f>+#REF!</f>
        <v>#REF!</v>
      </c>
      <c r="AY14" s="102" t="e">
        <f>+#REF!</f>
        <v>#REF!</v>
      </c>
      <c r="AZ14" s="102" t="e">
        <f>+#REF!</f>
        <v>#REF!</v>
      </c>
      <c r="BA14" s="102" t="e">
        <f>+#REF!</f>
        <v>#REF!</v>
      </c>
    </row>
    <row r="15" spans="1:53" ht="34.5" outlineLevel="1">
      <c r="A15" s="18" t="s">
        <v>25</v>
      </c>
      <c r="B15" s="18" t="s">
        <v>25</v>
      </c>
      <c r="C15" s="67" t="s">
        <v>231</v>
      </c>
      <c r="D15" s="106" t="s">
        <v>297</v>
      </c>
      <c r="E15" s="104" t="s">
        <v>261</v>
      </c>
      <c r="F15" s="68" t="s">
        <v>25</v>
      </c>
      <c r="G15" s="68" t="s">
        <v>25</v>
      </c>
      <c r="H15" s="68" t="s">
        <v>25</v>
      </c>
      <c r="I15" s="68" t="s">
        <v>25</v>
      </c>
      <c r="J15" s="68" t="s">
        <v>25</v>
      </c>
      <c r="K15" s="68" t="s">
        <v>25</v>
      </c>
      <c r="L15" s="68" t="s">
        <v>25</v>
      </c>
      <c r="M15" s="101" t="s">
        <v>25</v>
      </c>
      <c r="N15" s="69" t="e">
        <f t="shared" ref="N15:BA15" si="0">+IF(N$14&lt;=Ostatni_rok_analizy,IF(N$14&gt;=2026,N28,IF(Srednia=1,N32,N36)),0)</f>
        <v>#REF!</v>
      </c>
      <c r="O15" s="69" t="e">
        <f t="shared" si="0"/>
        <v>#REF!</v>
      </c>
      <c r="P15" s="69" t="e">
        <f t="shared" si="0"/>
        <v>#REF!</v>
      </c>
      <c r="Q15" s="69" t="e">
        <f t="shared" si="0"/>
        <v>#REF!</v>
      </c>
      <c r="R15" s="69" t="e">
        <f t="shared" si="0"/>
        <v>#REF!</v>
      </c>
      <c r="S15" s="69" t="e">
        <f t="shared" si="0"/>
        <v>#REF!</v>
      </c>
      <c r="T15" s="69" t="e">
        <f t="shared" si="0"/>
        <v>#REF!</v>
      </c>
      <c r="U15" s="69" t="e">
        <f t="shared" si="0"/>
        <v>#REF!</v>
      </c>
      <c r="V15" s="69" t="e">
        <f t="shared" si="0"/>
        <v>#REF!</v>
      </c>
      <c r="W15" s="69" t="e">
        <f t="shared" si="0"/>
        <v>#REF!</v>
      </c>
      <c r="X15" s="69" t="e">
        <f t="shared" si="0"/>
        <v>#REF!</v>
      </c>
      <c r="Y15" s="69" t="e">
        <f t="shared" si="0"/>
        <v>#REF!</v>
      </c>
      <c r="Z15" s="69" t="e">
        <f t="shared" si="0"/>
        <v>#REF!</v>
      </c>
      <c r="AA15" s="69" t="e">
        <f t="shared" si="0"/>
        <v>#REF!</v>
      </c>
      <c r="AB15" s="69" t="e">
        <f t="shared" si="0"/>
        <v>#REF!</v>
      </c>
      <c r="AC15" s="69" t="e">
        <f t="shared" si="0"/>
        <v>#REF!</v>
      </c>
      <c r="AD15" s="69" t="e">
        <f t="shared" si="0"/>
        <v>#REF!</v>
      </c>
      <c r="AE15" s="69" t="e">
        <f t="shared" si="0"/>
        <v>#REF!</v>
      </c>
      <c r="AF15" s="69" t="e">
        <f t="shared" si="0"/>
        <v>#REF!</v>
      </c>
      <c r="AG15" s="69" t="e">
        <f t="shared" si="0"/>
        <v>#REF!</v>
      </c>
      <c r="AH15" s="69" t="e">
        <f t="shared" si="0"/>
        <v>#REF!</v>
      </c>
      <c r="AI15" s="69" t="e">
        <f t="shared" si="0"/>
        <v>#REF!</v>
      </c>
      <c r="AJ15" s="69" t="e">
        <f t="shared" si="0"/>
        <v>#REF!</v>
      </c>
      <c r="AK15" s="69" t="e">
        <f t="shared" si="0"/>
        <v>#REF!</v>
      </c>
      <c r="AL15" s="69" t="e">
        <f t="shared" si="0"/>
        <v>#REF!</v>
      </c>
      <c r="AM15" s="69" t="e">
        <f t="shared" si="0"/>
        <v>#REF!</v>
      </c>
      <c r="AN15" s="69" t="e">
        <f t="shared" si="0"/>
        <v>#REF!</v>
      </c>
      <c r="AO15" s="69" t="e">
        <f t="shared" si="0"/>
        <v>#REF!</v>
      </c>
      <c r="AP15" s="69" t="e">
        <f t="shared" si="0"/>
        <v>#REF!</v>
      </c>
      <c r="AQ15" s="69" t="e">
        <f t="shared" si="0"/>
        <v>#REF!</v>
      </c>
      <c r="AR15" s="69" t="e">
        <f t="shared" si="0"/>
        <v>#REF!</v>
      </c>
      <c r="AS15" s="69" t="e">
        <f t="shared" si="0"/>
        <v>#REF!</v>
      </c>
      <c r="AT15" s="69" t="e">
        <f t="shared" si="0"/>
        <v>#REF!</v>
      </c>
      <c r="AU15" s="69" t="e">
        <f t="shared" si="0"/>
        <v>#REF!</v>
      </c>
      <c r="AV15" s="69" t="e">
        <f t="shared" si="0"/>
        <v>#REF!</v>
      </c>
      <c r="AW15" s="69" t="e">
        <f t="shared" si="0"/>
        <v>#REF!</v>
      </c>
      <c r="AX15" s="69" t="e">
        <f t="shared" si="0"/>
        <v>#REF!</v>
      </c>
      <c r="AY15" s="69" t="e">
        <f t="shared" si="0"/>
        <v>#REF!</v>
      </c>
      <c r="AZ15" s="69" t="e">
        <f t="shared" si="0"/>
        <v>#REF!</v>
      </c>
      <c r="BA15" s="69" t="e">
        <f t="shared" si="0"/>
        <v>#REF!</v>
      </c>
    </row>
    <row r="16" spans="1:53" ht="34.5" outlineLevel="2">
      <c r="A16" s="18" t="s">
        <v>25</v>
      </c>
      <c r="B16" s="18" t="s">
        <v>25</v>
      </c>
      <c r="C16" s="67" t="s">
        <v>209</v>
      </c>
      <c r="D16" s="106" t="s">
        <v>298</v>
      </c>
      <c r="E16" s="105" t="s">
        <v>262</v>
      </c>
      <c r="F16" s="68" t="s">
        <v>25</v>
      </c>
      <c r="G16" s="68" t="s">
        <v>25</v>
      </c>
      <c r="H16" s="68" t="s">
        <v>25</v>
      </c>
      <c r="I16" s="68" t="s">
        <v>25</v>
      </c>
      <c r="J16" s="68" t="s">
        <v>25</v>
      </c>
      <c r="K16" s="68" t="s">
        <v>25</v>
      </c>
      <c r="L16" s="68" t="s">
        <v>25</v>
      </c>
      <c r="M16" s="101" t="s">
        <v>25</v>
      </c>
      <c r="N16" s="69" t="e">
        <f t="shared" ref="N16:BA16" si="1">+IF(N$14&lt;=Ostatni_rok_analizy,IF(N$14&gt;=2026,N29,IF(Srednia=1,N33,N37)),0)</f>
        <v>#REF!</v>
      </c>
      <c r="O16" s="69" t="e">
        <f t="shared" si="1"/>
        <v>#REF!</v>
      </c>
      <c r="P16" s="69" t="e">
        <f t="shared" si="1"/>
        <v>#REF!</v>
      </c>
      <c r="Q16" s="69" t="e">
        <f t="shared" si="1"/>
        <v>#REF!</v>
      </c>
      <c r="R16" s="69" t="e">
        <f t="shared" si="1"/>
        <v>#REF!</v>
      </c>
      <c r="S16" s="69" t="e">
        <f t="shared" si="1"/>
        <v>#REF!</v>
      </c>
      <c r="T16" s="69" t="e">
        <f t="shared" si="1"/>
        <v>#REF!</v>
      </c>
      <c r="U16" s="69" t="e">
        <f t="shared" si="1"/>
        <v>#REF!</v>
      </c>
      <c r="V16" s="69" t="e">
        <f t="shared" si="1"/>
        <v>#REF!</v>
      </c>
      <c r="W16" s="69" t="e">
        <f t="shared" si="1"/>
        <v>#REF!</v>
      </c>
      <c r="X16" s="69" t="e">
        <f t="shared" si="1"/>
        <v>#REF!</v>
      </c>
      <c r="Y16" s="69" t="e">
        <f t="shared" si="1"/>
        <v>#REF!</v>
      </c>
      <c r="Z16" s="69" t="e">
        <f t="shared" si="1"/>
        <v>#REF!</v>
      </c>
      <c r="AA16" s="69" t="e">
        <f t="shared" si="1"/>
        <v>#REF!</v>
      </c>
      <c r="AB16" s="69" t="e">
        <f t="shared" si="1"/>
        <v>#REF!</v>
      </c>
      <c r="AC16" s="69" t="e">
        <f t="shared" si="1"/>
        <v>#REF!</v>
      </c>
      <c r="AD16" s="69" t="e">
        <f t="shared" si="1"/>
        <v>#REF!</v>
      </c>
      <c r="AE16" s="69" t="e">
        <f t="shared" si="1"/>
        <v>#REF!</v>
      </c>
      <c r="AF16" s="69" t="e">
        <f t="shared" si="1"/>
        <v>#REF!</v>
      </c>
      <c r="AG16" s="69" t="e">
        <f t="shared" si="1"/>
        <v>#REF!</v>
      </c>
      <c r="AH16" s="69" t="e">
        <f t="shared" si="1"/>
        <v>#REF!</v>
      </c>
      <c r="AI16" s="69" t="e">
        <f t="shared" si="1"/>
        <v>#REF!</v>
      </c>
      <c r="AJ16" s="69" t="e">
        <f t="shared" si="1"/>
        <v>#REF!</v>
      </c>
      <c r="AK16" s="69" t="e">
        <f t="shared" si="1"/>
        <v>#REF!</v>
      </c>
      <c r="AL16" s="69" t="e">
        <f t="shared" si="1"/>
        <v>#REF!</v>
      </c>
      <c r="AM16" s="69" t="e">
        <f t="shared" si="1"/>
        <v>#REF!</v>
      </c>
      <c r="AN16" s="69" t="e">
        <f t="shared" si="1"/>
        <v>#REF!</v>
      </c>
      <c r="AO16" s="69" t="e">
        <f t="shared" si="1"/>
        <v>#REF!</v>
      </c>
      <c r="AP16" s="69" t="e">
        <f t="shared" si="1"/>
        <v>#REF!</v>
      </c>
      <c r="AQ16" s="69" t="e">
        <f t="shared" si="1"/>
        <v>#REF!</v>
      </c>
      <c r="AR16" s="69" t="e">
        <f t="shared" si="1"/>
        <v>#REF!</v>
      </c>
      <c r="AS16" s="69" t="e">
        <f t="shared" si="1"/>
        <v>#REF!</v>
      </c>
      <c r="AT16" s="69" t="e">
        <f t="shared" si="1"/>
        <v>#REF!</v>
      </c>
      <c r="AU16" s="69" t="e">
        <f t="shared" si="1"/>
        <v>#REF!</v>
      </c>
      <c r="AV16" s="69" t="e">
        <f t="shared" si="1"/>
        <v>#REF!</v>
      </c>
      <c r="AW16" s="69" t="e">
        <f t="shared" si="1"/>
        <v>#REF!</v>
      </c>
      <c r="AX16" s="69" t="e">
        <f t="shared" si="1"/>
        <v>#REF!</v>
      </c>
      <c r="AY16" s="69" t="e">
        <f t="shared" si="1"/>
        <v>#REF!</v>
      </c>
      <c r="AZ16" s="69" t="e">
        <f t="shared" si="1"/>
        <v>#REF!</v>
      </c>
      <c r="BA16" s="69" t="e">
        <f t="shared" si="1"/>
        <v>#REF!</v>
      </c>
    </row>
    <row r="19" spans="3:53" outlineLevel="1">
      <c r="E19" s="103" t="s">
        <v>402</v>
      </c>
      <c r="F19" s="102" t="e">
        <f>+#REF!</f>
        <v>#REF!</v>
      </c>
      <c r="G19" s="102" t="e">
        <f>+#REF!</f>
        <v>#REF!</v>
      </c>
      <c r="H19" s="102" t="e">
        <f>+#REF!</f>
        <v>#REF!</v>
      </c>
      <c r="I19" s="102" t="e">
        <f>+#REF!</f>
        <v>#REF!</v>
      </c>
      <c r="J19" s="102" t="e">
        <f>+#REF!</f>
        <v>#REF!</v>
      </c>
      <c r="K19" s="102" t="e">
        <f>+#REF!</f>
        <v>#REF!</v>
      </c>
      <c r="L19" s="102" t="e">
        <f>+#REF!</f>
        <v>#REF!</v>
      </c>
      <c r="M19" s="102" t="e">
        <f>+#REF!</f>
        <v>#REF!</v>
      </c>
      <c r="N19" s="102" t="e">
        <f>+#REF!</f>
        <v>#REF!</v>
      </c>
      <c r="O19" s="102" t="e">
        <f>+#REF!</f>
        <v>#REF!</v>
      </c>
      <c r="P19" s="102" t="e">
        <f>+#REF!</f>
        <v>#REF!</v>
      </c>
      <c r="Q19" s="102" t="e">
        <f>+#REF!</f>
        <v>#REF!</v>
      </c>
      <c r="R19" s="102" t="e">
        <f>+#REF!</f>
        <v>#REF!</v>
      </c>
      <c r="S19" s="102" t="e">
        <f>+#REF!</f>
        <v>#REF!</v>
      </c>
      <c r="T19" s="102" t="e">
        <f>+#REF!</f>
        <v>#REF!</v>
      </c>
      <c r="U19" s="102" t="e">
        <f>+#REF!</f>
        <v>#REF!</v>
      </c>
      <c r="V19" s="102" t="e">
        <f>+#REF!</f>
        <v>#REF!</v>
      </c>
      <c r="W19" s="102" t="e">
        <f>+#REF!</f>
        <v>#REF!</v>
      </c>
      <c r="X19" s="102" t="e">
        <f>+#REF!</f>
        <v>#REF!</v>
      </c>
      <c r="Y19" s="102" t="e">
        <f>+#REF!</f>
        <v>#REF!</v>
      </c>
      <c r="Z19" s="102" t="e">
        <f>+#REF!</f>
        <v>#REF!</v>
      </c>
      <c r="AA19" s="102" t="e">
        <f>+#REF!</f>
        <v>#REF!</v>
      </c>
      <c r="AB19" s="102" t="e">
        <f>+#REF!</f>
        <v>#REF!</v>
      </c>
      <c r="AC19" s="102" t="e">
        <f>+#REF!</f>
        <v>#REF!</v>
      </c>
      <c r="AD19" s="102" t="e">
        <f>+#REF!</f>
        <v>#REF!</v>
      </c>
      <c r="AE19" s="102" t="e">
        <f>+#REF!</f>
        <v>#REF!</v>
      </c>
      <c r="AF19" s="102" t="e">
        <f>+#REF!</f>
        <v>#REF!</v>
      </c>
      <c r="AG19" s="102" t="e">
        <f>+#REF!</f>
        <v>#REF!</v>
      </c>
      <c r="AH19" s="102" t="e">
        <f>+#REF!</f>
        <v>#REF!</v>
      </c>
      <c r="AI19" s="102" t="e">
        <f>+#REF!</f>
        <v>#REF!</v>
      </c>
      <c r="AJ19" s="102" t="e">
        <f>+#REF!</f>
        <v>#REF!</v>
      </c>
      <c r="AK19" s="102" t="e">
        <f>+#REF!</f>
        <v>#REF!</v>
      </c>
      <c r="AL19" s="102" t="e">
        <f>+#REF!</f>
        <v>#REF!</v>
      </c>
      <c r="AM19" s="102" t="e">
        <f>+#REF!</f>
        <v>#REF!</v>
      </c>
      <c r="AN19" s="102" t="e">
        <f>+#REF!</f>
        <v>#REF!</v>
      </c>
      <c r="AO19" s="102" t="e">
        <f>+#REF!</f>
        <v>#REF!</v>
      </c>
      <c r="AP19" s="102" t="e">
        <f>+#REF!</f>
        <v>#REF!</v>
      </c>
      <c r="AQ19" s="102" t="e">
        <f>+#REF!</f>
        <v>#REF!</v>
      </c>
      <c r="AR19" s="102" t="e">
        <f>+#REF!</f>
        <v>#REF!</v>
      </c>
      <c r="AS19" s="102" t="e">
        <f>+#REF!</f>
        <v>#REF!</v>
      </c>
      <c r="AT19" s="102" t="e">
        <f>+#REF!</f>
        <v>#REF!</v>
      </c>
      <c r="AU19" s="102" t="e">
        <f>+#REF!</f>
        <v>#REF!</v>
      </c>
      <c r="AV19" s="102" t="e">
        <f>+#REF!</f>
        <v>#REF!</v>
      </c>
      <c r="AW19" s="102" t="e">
        <f>+#REF!</f>
        <v>#REF!</v>
      </c>
      <c r="AX19" s="102" t="e">
        <f>+#REF!</f>
        <v>#REF!</v>
      </c>
      <c r="AY19" s="102" t="e">
        <f>+#REF!</f>
        <v>#REF!</v>
      </c>
      <c r="AZ19" s="102" t="e">
        <f>+#REF!</f>
        <v>#REF!</v>
      </c>
      <c r="BA19" s="102" t="e">
        <f>+#REF!</f>
        <v>#REF!</v>
      </c>
    </row>
    <row r="20" spans="3:53" outlineLevel="1">
      <c r="C20" s="21" t="s">
        <v>207</v>
      </c>
      <c r="D20" s="38" t="s">
        <v>414</v>
      </c>
      <c r="E20" s="57" t="s">
        <v>207</v>
      </c>
      <c r="F20" s="116" t="e">
        <f>+IF(#REF!&lt;=Ostatni_rok_analizy,+#REF!,0)</f>
        <v>#REF!</v>
      </c>
      <c r="G20" s="116" t="e">
        <f>+IF(#REF!&lt;=Ostatni_rok_analizy,+#REF!,0)</f>
        <v>#REF!</v>
      </c>
      <c r="H20" s="116" t="e">
        <f>+IF(#REF!&lt;=Ostatni_rok_analizy,+#REF!,0)</f>
        <v>#REF!</v>
      </c>
      <c r="I20" s="116" t="e">
        <f>+IF(#REF!&lt;=Ostatni_rok_analizy,+#REF!,0)</f>
        <v>#REF!</v>
      </c>
      <c r="J20" s="116" t="e">
        <f>+IF(#REF!&lt;=Ostatni_rok_analizy,+#REF!,0)</f>
        <v>#REF!</v>
      </c>
      <c r="K20" s="116" t="e">
        <f>+IF(#REF!&lt;=Ostatni_rok_analizy,+#REF!,0)</f>
        <v>#REF!</v>
      </c>
      <c r="L20" s="116" t="e">
        <f>+IF(#REF!&lt;=Ostatni_rok_analizy,+#REF!,0)</f>
        <v>#REF!</v>
      </c>
      <c r="M20" s="116" t="e">
        <f>+IF(#REF!&lt;=Ostatni_rok_analizy,+#REF!,0)</f>
        <v>#REF!</v>
      </c>
      <c r="N20" s="116" t="e">
        <f>+IF(#REF!&lt;=Ostatni_rok_analizy,+#REF!,0)</f>
        <v>#REF!</v>
      </c>
      <c r="O20" s="116" t="e">
        <f>+IF(#REF!&lt;=Ostatni_rok_analizy,+#REF!,0)</f>
        <v>#REF!</v>
      </c>
      <c r="P20" s="116" t="e">
        <f>+IF(#REF!&lt;=Ostatni_rok_analizy,+#REF!,0)</f>
        <v>#REF!</v>
      </c>
      <c r="Q20" s="116" t="e">
        <f>+IF(#REF!&lt;=Ostatni_rok_analizy,+#REF!,0)</f>
        <v>#REF!</v>
      </c>
      <c r="R20" s="116" t="e">
        <f>+IF(#REF!&lt;=Ostatni_rok_analizy,+#REF!,0)</f>
        <v>#REF!</v>
      </c>
      <c r="S20" s="116" t="e">
        <f>+IF(#REF!&lt;=Ostatni_rok_analizy,+#REF!,0)</f>
        <v>#REF!</v>
      </c>
      <c r="T20" s="116" t="e">
        <f>+IF(#REF!&lt;=Ostatni_rok_analizy,+#REF!,0)</f>
        <v>#REF!</v>
      </c>
      <c r="U20" s="116" t="e">
        <f>+IF(#REF!&lt;=Ostatni_rok_analizy,+#REF!,0)</f>
        <v>#REF!</v>
      </c>
      <c r="V20" s="116" t="e">
        <f>+IF(#REF!&lt;=Ostatni_rok_analizy,+#REF!,0)</f>
        <v>#REF!</v>
      </c>
      <c r="W20" s="116" t="e">
        <f>+IF(#REF!&lt;=Ostatni_rok_analizy,+#REF!,0)</f>
        <v>#REF!</v>
      </c>
      <c r="X20" s="116" t="e">
        <f>+IF(#REF!&lt;=Ostatni_rok_analizy,+#REF!,0)</f>
        <v>#REF!</v>
      </c>
      <c r="Y20" s="116" t="e">
        <f>+IF(#REF!&lt;=Ostatni_rok_analizy,+#REF!,0)</f>
        <v>#REF!</v>
      </c>
      <c r="Z20" s="116" t="e">
        <f>+IF(#REF!&lt;=Ostatni_rok_analizy,+#REF!,0)</f>
        <v>#REF!</v>
      </c>
      <c r="AA20" s="116" t="e">
        <f>+IF(#REF!&lt;=Ostatni_rok_analizy,+#REF!,0)</f>
        <v>#REF!</v>
      </c>
      <c r="AB20" s="116" t="e">
        <f>+IF(#REF!&lt;=Ostatni_rok_analizy,+#REF!,0)</f>
        <v>#REF!</v>
      </c>
      <c r="AC20" s="116" t="e">
        <f>+IF(#REF!&lt;=Ostatni_rok_analizy,+#REF!,0)</f>
        <v>#REF!</v>
      </c>
      <c r="AD20" s="116" t="e">
        <f>+IF(#REF!&lt;=Ostatni_rok_analizy,+#REF!,0)</f>
        <v>#REF!</v>
      </c>
      <c r="AE20" s="116" t="e">
        <f>+IF(#REF!&lt;=Ostatni_rok_analizy,+#REF!,0)</f>
        <v>#REF!</v>
      </c>
      <c r="AF20" s="116" t="e">
        <f>+IF(#REF!&lt;=Ostatni_rok_analizy,+#REF!,0)</f>
        <v>#REF!</v>
      </c>
      <c r="AG20" s="116" t="e">
        <f>+IF(#REF!&lt;=Ostatni_rok_analizy,+#REF!,0)</f>
        <v>#REF!</v>
      </c>
      <c r="AH20" s="116" t="e">
        <f>+IF(#REF!&lt;=Ostatni_rok_analizy,+#REF!,0)</f>
        <v>#REF!</v>
      </c>
      <c r="AI20" s="116" t="e">
        <f>+IF(#REF!&lt;=Ostatni_rok_analizy,+#REF!,0)</f>
        <v>#REF!</v>
      </c>
      <c r="AJ20" s="116" t="e">
        <f>+IF(#REF!&lt;=Ostatni_rok_analizy,+#REF!,0)</f>
        <v>#REF!</v>
      </c>
      <c r="AK20" s="116" t="e">
        <f>+IF(#REF!&lt;=Ostatni_rok_analizy,+#REF!,0)</f>
        <v>#REF!</v>
      </c>
      <c r="AL20" s="116" t="e">
        <f>+IF(#REF!&lt;=Ostatni_rok_analizy,+#REF!,0)</f>
        <v>#REF!</v>
      </c>
      <c r="AM20" s="116" t="e">
        <f>+IF(#REF!&lt;=Ostatni_rok_analizy,+#REF!,0)</f>
        <v>#REF!</v>
      </c>
      <c r="AN20" s="116" t="e">
        <f>+IF(#REF!&lt;=Ostatni_rok_analizy,+#REF!,0)</f>
        <v>#REF!</v>
      </c>
      <c r="AO20" s="116" t="e">
        <f>+IF(#REF!&lt;=Ostatni_rok_analizy,+#REF!,0)</f>
        <v>#REF!</v>
      </c>
      <c r="AP20" s="116" t="e">
        <f>+IF(#REF!&lt;=Ostatni_rok_analizy,+#REF!,0)</f>
        <v>#REF!</v>
      </c>
      <c r="AQ20" s="116" t="e">
        <f>+IF(#REF!&lt;=Ostatni_rok_analizy,+#REF!,0)</f>
        <v>#REF!</v>
      </c>
      <c r="AR20" s="116" t="e">
        <f>+IF(#REF!&lt;=Ostatni_rok_analizy,+#REF!,0)</f>
        <v>#REF!</v>
      </c>
      <c r="AS20" s="116" t="e">
        <f>+IF(#REF!&lt;=Ostatni_rok_analizy,+#REF!,0)</f>
        <v>#REF!</v>
      </c>
      <c r="AT20" s="116" t="e">
        <f>+IF(#REF!&lt;=Ostatni_rok_analizy,+#REF!,0)</f>
        <v>#REF!</v>
      </c>
      <c r="AU20" s="116" t="e">
        <f>+IF(#REF!&lt;=Ostatni_rok_analizy,+#REF!,0)</f>
        <v>#REF!</v>
      </c>
      <c r="AV20" s="116" t="e">
        <f>+IF(#REF!&lt;=Ostatni_rok_analizy,+#REF!,0)</f>
        <v>#REF!</v>
      </c>
      <c r="AW20" s="116" t="e">
        <f>+IF(#REF!&lt;=Ostatni_rok_analizy,+#REF!,0)</f>
        <v>#REF!</v>
      </c>
      <c r="AX20" s="116" t="e">
        <f>+IF(#REF!&lt;=Ostatni_rok_analizy,+#REF!,0)</f>
        <v>#REF!</v>
      </c>
      <c r="AY20" s="116" t="e">
        <f>+IF(#REF!&lt;=Ostatni_rok_analizy,+#REF!,0)</f>
        <v>#REF!</v>
      </c>
      <c r="AZ20" s="116" t="e">
        <f>+IF(#REF!&lt;=Ostatni_rok_analizy,+#REF!,0)</f>
        <v>#REF!</v>
      </c>
      <c r="BA20" s="116" t="e">
        <f>+IF(#REF!&lt;=Ostatni_rok_analizy,+#REF!,0)</f>
        <v>#REF!</v>
      </c>
    </row>
    <row r="21" spans="3:53" outlineLevel="1">
      <c r="C21" s="21" t="s">
        <v>208</v>
      </c>
      <c r="D21" s="38" t="s">
        <v>343</v>
      </c>
      <c r="E21" s="57" t="s">
        <v>208</v>
      </c>
      <c r="F21" s="116" t="e">
        <f>+IF(#REF!&lt;=Ostatni_rok_analizy,+#REF!,0)</f>
        <v>#REF!</v>
      </c>
      <c r="G21" s="116" t="e">
        <f>+IF(#REF!&lt;=Ostatni_rok_analizy,+#REF!,0)</f>
        <v>#REF!</v>
      </c>
      <c r="H21" s="116" t="e">
        <f>+IF(#REF!&lt;=Ostatni_rok_analizy,+#REF!,0)</f>
        <v>#REF!</v>
      </c>
      <c r="I21" s="116" t="e">
        <f>+IF(#REF!&lt;=Ostatni_rok_analizy,+#REF!,0)</f>
        <v>#REF!</v>
      </c>
      <c r="J21" s="116" t="e">
        <f>+IF(#REF!&lt;=Ostatni_rok_analizy,+#REF!,0)</f>
        <v>#REF!</v>
      </c>
      <c r="K21" s="116" t="e">
        <f>+IF(#REF!&lt;=Ostatni_rok_analizy,+#REF!,0)</f>
        <v>#REF!</v>
      </c>
      <c r="L21" s="116" t="e">
        <f>+IF(#REF!&lt;=Ostatni_rok_analizy,+#REF!,0)</f>
        <v>#REF!</v>
      </c>
      <c r="M21" s="116" t="e">
        <f>+IF(#REF!&lt;=Ostatni_rok_analizy,+#REF!,0)</f>
        <v>#REF!</v>
      </c>
      <c r="N21" s="116" t="e">
        <f>+IF(#REF!&lt;=Ostatni_rok_analizy,+#REF!,0)</f>
        <v>#REF!</v>
      </c>
      <c r="O21" s="116" t="e">
        <f>+IF(#REF!&lt;=Ostatni_rok_analizy,+#REF!,0)</f>
        <v>#REF!</v>
      </c>
      <c r="P21" s="116" t="e">
        <f>+IF(#REF!&lt;=Ostatni_rok_analizy,+#REF!,0)</f>
        <v>#REF!</v>
      </c>
      <c r="Q21" s="116" t="e">
        <f>+IF(#REF!&lt;=Ostatni_rok_analizy,+#REF!,0)</f>
        <v>#REF!</v>
      </c>
      <c r="R21" s="116" t="e">
        <f>+IF(#REF!&lt;=Ostatni_rok_analizy,+#REF!,0)</f>
        <v>#REF!</v>
      </c>
      <c r="S21" s="116" t="e">
        <f>+IF(#REF!&lt;=Ostatni_rok_analizy,+#REF!,0)</f>
        <v>#REF!</v>
      </c>
      <c r="T21" s="116" t="e">
        <f>+IF(#REF!&lt;=Ostatni_rok_analizy,+#REF!,0)</f>
        <v>#REF!</v>
      </c>
      <c r="U21" s="116" t="e">
        <f>+IF(#REF!&lt;=Ostatni_rok_analizy,+#REF!,0)</f>
        <v>#REF!</v>
      </c>
      <c r="V21" s="116" t="e">
        <f>+IF(#REF!&lt;=Ostatni_rok_analizy,+#REF!,0)</f>
        <v>#REF!</v>
      </c>
      <c r="W21" s="116" t="e">
        <f>+IF(#REF!&lt;=Ostatni_rok_analizy,+#REF!,0)</f>
        <v>#REF!</v>
      </c>
      <c r="X21" s="116" t="e">
        <f>+IF(#REF!&lt;=Ostatni_rok_analizy,+#REF!,0)</f>
        <v>#REF!</v>
      </c>
      <c r="Y21" s="116" t="e">
        <f>+IF(#REF!&lt;=Ostatni_rok_analizy,+#REF!,0)</f>
        <v>#REF!</v>
      </c>
      <c r="Z21" s="116" t="e">
        <f>+IF(#REF!&lt;=Ostatni_rok_analizy,+#REF!,0)</f>
        <v>#REF!</v>
      </c>
      <c r="AA21" s="116" t="e">
        <f>+IF(#REF!&lt;=Ostatni_rok_analizy,+#REF!,0)</f>
        <v>#REF!</v>
      </c>
      <c r="AB21" s="116" t="e">
        <f>+IF(#REF!&lt;=Ostatni_rok_analizy,+#REF!,0)</f>
        <v>#REF!</v>
      </c>
      <c r="AC21" s="116" t="e">
        <f>+IF(#REF!&lt;=Ostatni_rok_analizy,+#REF!,0)</f>
        <v>#REF!</v>
      </c>
      <c r="AD21" s="116" t="e">
        <f>+IF(#REF!&lt;=Ostatni_rok_analizy,+#REF!,0)</f>
        <v>#REF!</v>
      </c>
      <c r="AE21" s="116" t="e">
        <f>+IF(#REF!&lt;=Ostatni_rok_analizy,+#REF!,0)</f>
        <v>#REF!</v>
      </c>
      <c r="AF21" s="116" t="e">
        <f>+IF(#REF!&lt;=Ostatni_rok_analizy,+#REF!,0)</f>
        <v>#REF!</v>
      </c>
      <c r="AG21" s="116" t="e">
        <f>+IF(#REF!&lt;=Ostatni_rok_analizy,+#REF!,0)</f>
        <v>#REF!</v>
      </c>
      <c r="AH21" s="116" t="e">
        <f>+IF(#REF!&lt;=Ostatni_rok_analizy,+#REF!,0)</f>
        <v>#REF!</v>
      </c>
      <c r="AI21" s="116" t="e">
        <f>+IF(#REF!&lt;=Ostatni_rok_analizy,+#REF!,0)</f>
        <v>#REF!</v>
      </c>
      <c r="AJ21" s="116" t="e">
        <f>+IF(#REF!&lt;=Ostatni_rok_analizy,+#REF!,0)</f>
        <v>#REF!</v>
      </c>
      <c r="AK21" s="116" t="e">
        <f>+IF(#REF!&lt;=Ostatni_rok_analizy,+#REF!,0)</f>
        <v>#REF!</v>
      </c>
      <c r="AL21" s="116" t="e">
        <f>+IF(#REF!&lt;=Ostatni_rok_analizy,+#REF!,0)</f>
        <v>#REF!</v>
      </c>
      <c r="AM21" s="116" t="e">
        <f>+IF(#REF!&lt;=Ostatni_rok_analizy,+#REF!,0)</f>
        <v>#REF!</v>
      </c>
      <c r="AN21" s="116" t="e">
        <f>+IF(#REF!&lt;=Ostatni_rok_analizy,+#REF!,0)</f>
        <v>#REF!</v>
      </c>
      <c r="AO21" s="116" t="e">
        <f>+IF(#REF!&lt;=Ostatni_rok_analizy,+#REF!,0)</f>
        <v>#REF!</v>
      </c>
      <c r="AP21" s="116" t="e">
        <f>+IF(#REF!&lt;=Ostatni_rok_analizy,+#REF!,0)</f>
        <v>#REF!</v>
      </c>
      <c r="AQ21" s="116" t="e">
        <f>+IF(#REF!&lt;=Ostatni_rok_analizy,+#REF!,0)</f>
        <v>#REF!</v>
      </c>
      <c r="AR21" s="116" t="e">
        <f>+IF(#REF!&lt;=Ostatni_rok_analizy,+#REF!,0)</f>
        <v>#REF!</v>
      </c>
      <c r="AS21" s="116" t="e">
        <f>+IF(#REF!&lt;=Ostatni_rok_analizy,+#REF!,0)</f>
        <v>#REF!</v>
      </c>
      <c r="AT21" s="116" t="e">
        <f>+IF(#REF!&lt;=Ostatni_rok_analizy,+#REF!,0)</f>
        <v>#REF!</v>
      </c>
      <c r="AU21" s="116" t="e">
        <f>+IF(#REF!&lt;=Ostatni_rok_analizy,+#REF!,0)</f>
        <v>#REF!</v>
      </c>
      <c r="AV21" s="116" t="e">
        <f>+IF(#REF!&lt;=Ostatni_rok_analizy,+#REF!,0)</f>
        <v>#REF!</v>
      </c>
      <c r="AW21" s="116" t="e">
        <f>+IF(#REF!&lt;=Ostatni_rok_analizy,+#REF!,0)</f>
        <v>#REF!</v>
      </c>
      <c r="AX21" s="116" t="e">
        <f>+IF(#REF!&lt;=Ostatni_rok_analizy,+#REF!,0)</f>
        <v>#REF!</v>
      </c>
      <c r="AY21" s="116" t="e">
        <f>+IF(#REF!&lt;=Ostatni_rok_analizy,+#REF!,0)</f>
        <v>#REF!</v>
      </c>
      <c r="AZ21" s="116" t="e">
        <f>+IF(#REF!&lt;=Ostatni_rok_analizy,+#REF!,0)</f>
        <v>#REF!</v>
      </c>
      <c r="BA21" s="116" t="e">
        <f>+IF(#REF!&lt;=Ostatni_rok_analizy,+#REF!,0)</f>
        <v>#REF!</v>
      </c>
    </row>
    <row r="22" spans="3:53" outlineLevel="1"/>
    <row r="23" spans="3:53" outlineLevel="1">
      <c r="D23" s="121" t="s">
        <v>409</v>
      </c>
      <c r="E23" s="121" t="s">
        <v>413</v>
      </c>
    </row>
    <row r="24" spans="3:53" outlineLevel="1">
      <c r="D24" s="122"/>
      <c r="E24" s="123" t="s">
        <v>400</v>
      </c>
      <c r="N24" s="117" t="e">
        <f>+ROUND(SUM(F$21:$L21)/7,4)</f>
        <v>#REF!</v>
      </c>
      <c r="O24" s="118" t="e">
        <f>+ROUND(SUM($N21:N21,G$21:$L21)/7,4)</f>
        <v>#REF!</v>
      </c>
      <c r="P24" s="118" t="e">
        <f>+ROUND(SUM($N21:O21,H$21:$L21)/7,4)</f>
        <v>#REF!</v>
      </c>
      <c r="Q24" s="118" t="e">
        <f>+ROUND(SUM($N21:P21,I$21:$L21)/7,4)</f>
        <v>#REF!</v>
      </c>
      <c r="R24" s="118" t="e">
        <f>+ROUND(SUM($N21:Q21,J$21:$L21)/7,4)</f>
        <v>#REF!</v>
      </c>
      <c r="S24" s="118" t="e">
        <f>+ROUND(SUM($N21:R21,K$21:$L21)/7,4)</f>
        <v>#REF!</v>
      </c>
      <c r="T24" s="117" t="e">
        <f>+ROUND(SUM($N21:S21,L$21:$L21)/7,4)</f>
        <v>#REF!</v>
      </c>
      <c r="U24" s="119" t="e">
        <f>+ROUND(SUM(N21:T21)/7,4)</f>
        <v>#REF!</v>
      </c>
      <c r="V24" s="119" t="e">
        <f>+ROUND(SUM(O21:U21)/7,4)</f>
        <v>#REF!</v>
      </c>
      <c r="W24" s="119" t="e">
        <f t="shared" ref="W24:BA24" si="2">+ROUND(SUM(P21:V21)/7,4)</f>
        <v>#REF!</v>
      </c>
      <c r="X24" s="119" t="e">
        <f t="shared" si="2"/>
        <v>#REF!</v>
      </c>
      <c r="Y24" s="119" t="e">
        <f t="shared" si="2"/>
        <v>#REF!</v>
      </c>
      <c r="Z24" s="119" t="e">
        <f t="shared" si="2"/>
        <v>#REF!</v>
      </c>
      <c r="AA24" s="119" t="e">
        <f t="shared" si="2"/>
        <v>#REF!</v>
      </c>
      <c r="AB24" s="119" t="e">
        <f t="shared" si="2"/>
        <v>#REF!</v>
      </c>
      <c r="AC24" s="119" t="e">
        <f t="shared" si="2"/>
        <v>#REF!</v>
      </c>
      <c r="AD24" s="119" t="e">
        <f t="shared" si="2"/>
        <v>#REF!</v>
      </c>
      <c r="AE24" s="119" t="e">
        <f t="shared" si="2"/>
        <v>#REF!</v>
      </c>
      <c r="AF24" s="119" t="e">
        <f t="shared" si="2"/>
        <v>#REF!</v>
      </c>
      <c r="AG24" s="119" t="e">
        <f t="shared" si="2"/>
        <v>#REF!</v>
      </c>
      <c r="AH24" s="119" t="e">
        <f t="shared" si="2"/>
        <v>#REF!</v>
      </c>
      <c r="AI24" s="119" t="e">
        <f t="shared" si="2"/>
        <v>#REF!</v>
      </c>
      <c r="AJ24" s="119" t="e">
        <f t="shared" si="2"/>
        <v>#REF!</v>
      </c>
      <c r="AK24" s="119" t="e">
        <f t="shared" si="2"/>
        <v>#REF!</v>
      </c>
      <c r="AL24" s="119" t="e">
        <f t="shared" si="2"/>
        <v>#REF!</v>
      </c>
      <c r="AM24" s="119" t="e">
        <f t="shared" si="2"/>
        <v>#REF!</v>
      </c>
      <c r="AN24" s="119" t="e">
        <f t="shared" si="2"/>
        <v>#REF!</v>
      </c>
      <c r="AO24" s="119" t="e">
        <f t="shared" si="2"/>
        <v>#REF!</v>
      </c>
      <c r="AP24" s="119" t="e">
        <f t="shared" si="2"/>
        <v>#REF!</v>
      </c>
      <c r="AQ24" s="119" t="e">
        <f t="shared" si="2"/>
        <v>#REF!</v>
      </c>
      <c r="AR24" s="119" t="e">
        <f t="shared" si="2"/>
        <v>#REF!</v>
      </c>
      <c r="AS24" s="119" t="e">
        <f t="shared" si="2"/>
        <v>#REF!</v>
      </c>
      <c r="AT24" s="119" t="e">
        <f t="shared" si="2"/>
        <v>#REF!</v>
      </c>
      <c r="AU24" s="119" t="e">
        <f t="shared" si="2"/>
        <v>#REF!</v>
      </c>
      <c r="AV24" s="119" t="e">
        <f t="shared" si="2"/>
        <v>#REF!</v>
      </c>
      <c r="AW24" s="119" t="e">
        <f t="shared" si="2"/>
        <v>#REF!</v>
      </c>
      <c r="AX24" s="119" t="e">
        <f t="shared" si="2"/>
        <v>#REF!</v>
      </c>
      <c r="AY24" s="119" t="e">
        <f t="shared" si="2"/>
        <v>#REF!</v>
      </c>
      <c r="AZ24" s="119" t="e">
        <f t="shared" si="2"/>
        <v>#REF!</v>
      </c>
      <c r="BA24" s="119" t="e">
        <f t="shared" si="2"/>
        <v>#REF!</v>
      </c>
    </row>
    <row r="25" spans="3:53" outlineLevel="1">
      <c r="D25" s="122"/>
      <c r="E25" s="123" t="s">
        <v>401</v>
      </c>
      <c r="N25" s="117" t="e">
        <f>+ROUND(SUM(F21:$K$21,$M$21)/7,4)</f>
        <v>#REF!</v>
      </c>
      <c r="O25" s="118" t="e">
        <f>+ROUND(SUM(G21:$K$21,$M$21,N21:$N21)/7,4)</f>
        <v>#REF!</v>
      </c>
      <c r="P25" s="118" t="e">
        <f>+ROUND(SUM(H21:$K$21,$M$21,$N21:O21)/7,4)</f>
        <v>#REF!</v>
      </c>
      <c r="Q25" s="118" t="e">
        <f>+ROUND(SUM(I21:$K$21,$M$21,$N21:P21)/7,4)</f>
        <v>#REF!</v>
      </c>
      <c r="R25" s="118" t="e">
        <f>+ROUND(SUM(J21:$K$21,$M$21,$N21:Q21)/7,4)</f>
        <v>#REF!</v>
      </c>
      <c r="S25" s="118" t="e">
        <f>+ROUND(SUM(K21:$K$21,$M$21,$N21:R21)/7,4)</f>
        <v>#REF!</v>
      </c>
      <c r="T25" s="117" t="e">
        <f>+ROUND(SUM($M$21,$N21:S21)/7,4)</f>
        <v>#REF!</v>
      </c>
      <c r="U25" s="119" t="e">
        <f>+ROUND(SUM(N21:T21)/7,4)</f>
        <v>#REF!</v>
      </c>
      <c r="V25" s="119" t="e">
        <f>+ROUND(SUM(O21:U21)/7,4)</f>
        <v>#REF!</v>
      </c>
      <c r="W25" s="119" t="e">
        <f t="shared" ref="W25:BA25" si="3">+ROUND(SUM(P21:V21)/7,4)</f>
        <v>#REF!</v>
      </c>
      <c r="X25" s="119" t="e">
        <f t="shared" si="3"/>
        <v>#REF!</v>
      </c>
      <c r="Y25" s="119" t="e">
        <f t="shared" si="3"/>
        <v>#REF!</v>
      </c>
      <c r="Z25" s="119" t="e">
        <f t="shared" si="3"/>
        <v>#REF!</v>
      </c>
      <c r="AA25" s="119" t="e">
        <f t="shared" si="3"/>
        <v>#REF!</v>
      </c>
      <c r="AB25" s="119" t="e">
        <f t="shared" si="3"/>
        <v>#REF!</v>
      </c>
      <c r="AC25" s="119" t="e">
        <f t="shared" si="3"/>
        <v>#REF!</v>
      </c>
      <c r="AD25" s="119" t="e">
        <f t="shared" si="3"/>
        <v>#REF!</v>
      </c>
      <c r="AE25" s="119" t="e">
        <f t="shared" si="3"/>
        <v>#REF!</v>
      </c>
      <c r="AF25" s="119" t="e">
        <f t="shared" si="3"/>
        <v>#REF!</v>
      </c>
      <c r="AG25" s="119" t="e">
        <f t="shared" si="3"/>
        <v>#REF!</v>
      </c>
      <c r="AH25" s="119" t="e">
        <f t="shared" si="3"/>
        <v>#REF!</v>
      </c>
      <c r="AI25" s="119" t="e">
        <f t="shared" si="3"/>
        <v>#REF!</v>
      </c>
      <c r="AJ25" s="119" t="e">
        <f t="shared" si="3"/>
        <v>#REF!</v>
      </c>
      <c r="AK25" s="119" t="e">
        <f t="shared" si="3"/>
        <v>#REF!</v>
      </c>
      <c r="AL25" s="119" t="e">
        <f t="shared" si="3"/>
        <v>#REF!</v>
      </c>
      <c r="AM25" s="119" t="e">
        <f t="shared" si="3"/>
        <v>#REF!</v>
      </c>
      <c r="AN25" s="119" t="e">
        <f t="shared" si="3"/>
        <v>#REF!</v>
      </c>
      <c r="AO25" s="119" t="e">
        <f t="shared" si="3"/>
        <v>#REF!</v>
      </c>
      <c r="AP25" s="119" t="e">
        <f t="shared" si="3"/>
        <v>#REF!</v>
      </c>
      <c r="AQ25" s="119" t="e">
        <f t="shared" si="3"/>
        <v>#REF!</v>
      </c>
      <c r="AR25" s="119" t="e">
        <f t="shared" si="3"/>
        <v>#REF!</v>
      </c>
      <c r="AS25" s="119" t="e">
        <f t="shared" si="3"/>
        <v>#REF!</v>
      </c>
      <c r="AT25" s="119" t="e">
        <f t="shared" si="3"/>
        <v>#REF!</v>
      </c>
      <c r="AU25" s="119" t="e">
        <f t="shared" si="3"/>
        <v>#REF!</v>
      </c>
      <c r="AV25" s="119" t="e">
        <f t="shared" si="3"/>
        <v>#REF!</v>
      </c>
      <c r="AW25" s="119" t="e">
        <f t="shared" si="3"/>
        <v>#REF!</v>
      </c>
      <c r="AX25" s="119" t="e">
        <f t="shared" si="3"/>
        <v>#REF!</v>
      </c>
      <c r="AY25" s="119" t="e">
        <f t="shared" si="3"/>
        <v>#REF!</v>
      </c>
      <c r="AZ25" s="119" t="e">
        <f t="shared" si="3"/>
        <v>#REF!</v>
      </c>
      <c r="BA25" s="119" t="e">
        <f t="shared" si="3"/>
        <v>#REF!</v>
      </c>
    </row>
    <row r="26" spans="3:53" outlineLevel="1"/>
    <row r="27" spans="3:53" outlineLevel="1">
      <c r="D27" s="103" t="s">
        <v>409</v>
      </c>
      <c r="E27" s="103" t="s">
        <v>412</v>
      </c>
    </row>
    <row r="28" spans="3:53" outlineLevel="1">
      <c r="E28" s="120" t="s">
        <v>410</v>
      </c>
      <c r="N28" s="117" t="e">
        <f>+ROUND(SUM(F$20:$L20)/7,4)</f>
        <v>#REF!</v>
      </c>
      <c r="O28" s="118" t="e">
        <f>+ROUND(SUM($N$21:N21,G$20:$L20)/7,4)</f>
        <v>#REF!</v>
      </c>
      <c r="P28" s="118" t="e">
        <f>+ROUND(SUM($N$21:O21,H$20:$L20)/7,4)</f>
        <v>#REF!</v>
      </c>
      <c r="Q28" s="118" t="e">
        <f>+ROUND(SUM($N$21:P21,I$20:$L20)/7,4)</f>
        <v>#REF!</v>
      </c>
      <c r="R28" s="118" t="e">
        <f>+ROUND(SUM($N$21:Q21,J$20:$L20)/7,4)</f>
        <v>#REF!</v>
      </c>
      <c r="S28" s="118" t="e">
        <f>+ROUND(SUM($N$21:R21,K$20:$L20)/7,4)</f>
        <v>#REF!</v>
      </c>
      <c r="T28" s="118" t="e">
        <f>+ROUND(SUM($N$21:S21,L$20:$L20)/7,4)</f>
        <v>#REF!</v>
      </c>
      <c r="U28" s="119" t="e">
        <f>+ROUND(SUM(N$21:T$21)/7,4)</f>
        <v>#REF!</v>
      </c>
      <c r="V28" s="119" t="e">
        <f>+ROUND(SUM(O$21:U$21)/7,4)</f>
        <v>#REF!</v>
      </c>
      <c r="W28" s="119" t="e">
        <f t="shared" ref="W28:BA28" si="4">+ROUND(SUM(P$21:V$21)/7,4)</f>
        <v>#REF!</v>
      </c>
      <c r="X28" s="119" t="e">
        <f t="shared" si="4"/>
        <v>#REF!</v>
      </c>
      <c r="Y28" s="119" t="e">
        <f t="shared" si="4"/>
        <v>#REF!</v>
      </c>
      <c r="Z28" s="119" t="e">
        <f t="shared" si="4"/>
        <v>#REF!</v>
      </c>
      <c r="AA28" s="119" t="e">
        <f t="shared" si="4"/>
        <v>#REF!</v>
      </c>
      <c r="AB28" s="119" t="e">
        <f t="shared" si="4"/>
        <v>#REF!</v>
      </c>
      <c r="AC28" s="119" t="e">
        <f t="shared" si="4"/>
        <v>#REF!</v>
      </c>
      <c r="AD28" s="119" t="e">
        <f t="shared" si="4"/>
        <v>#REF!</v>
      </c>
      <c r="AE28" s="119" t="e">
        <f t="shared" si="4"/>
        <v>#REF!</v>
      </c>
      <c r="AF28" s="119" t="e">
        <f t="shared" si="4"/>
        <v>#REF!</v>
      </c>
      <c r="AG28" s="119" t="e">
        <f t="shared" si="4"/>
        <v>#REF!</v>
      </c>
      <c r="AH28" s="119" t="e">
        <f t="shared" si="4"/>
        <v>#REF!</v>
      </c>
      <c r="AI28" s="119" t="e">
        <f t="shared" si="4"/>
        <v>#REF!</v>
      </c>
      <c r="AJ28" s="119" t="e">
        <f t="shared" si="4"/>
        <v>#REF!</v>
      </c>
      <c r="AK28" s="119" t="e">
        <f t="shared" si="4"/>
        <v>#REF!</v>
      </c>
      <c r="AL28" s="119" t="e">
        <f t="shared" si="4"/>
        <v>#REF!</v>
      </c>
      <c r="AM28" s="119" t="e">
        <f t="shared" si="4"/>
        <v>#REF!</v>
      </c>
      <c r="AN28" s="119" t="e">
        <f t="shared" si="4"/>
        <v>#REF!</v>
      </c>
      <c r="AO28" s="119" t="e">
        <f t="shared" si="4"/>
        <v>#REF!</v>
      </c>
      <c r="AP28" s="119" t="e">
        <f t="shared" si="4"/>
        <v>#REF!</v>
      </c>
      <c r="AQ28" s="119" t="e">
        <f t="shared" si="4"/>
        <v>#REF!</v>
      </c>
      <c r="AR28" s="119" t="e">
        <f t="shared" si="4"/>
        <v>#REF!</v>
      </c>
      <c r="AS28" s="119" t="e">
        <f t="shared" si="4"/>
        <v>#REF!</v>
      </c>
      <c r="AT28" s="119" t="e">
        <f t="shared" si="4"/>
        <v>#REF!</v>
      </c>
      <c r="AU28" s="119" t="e">
        <f t="shared" si="4"/>
        <v>#REF!</v>
      </c>
      <c r="AV28" s="119" t="e">
        <f t="shared" si="4"/>
        <v>#REF!</v>
      </c>
      <c r="AW28" s="119" t="e">
        <f t="shared" si="4"/>
        <v>#REF!</v>
      </c>
      <c r="AX28" s="119" t="e">
        <f t="shared" si="4"/>
        <v>#REF!</v>
      </c>
      <c r="AY28" s="119" t="e">
        <f t="shared" si="4"/>
        <v>#REF!</v>
      </c>
      <c r="AZ28" s="119" t="e">
        <f t="shared" si="4"/>
        <v>#REF!</v>
      </c>
      <c r="BA28" s="119" t="e">
        <f t="shared" si="4"/>
        <v>#REF!</v>
      </c>
    </row>
    <row r="29" spans="3:53" outlineLevel="1">
      <c r="E29" s="120" t="s">
        <v>411</v>
      </c>
      <c r="N29" s="117" t="e">
        <f>+ROUND(SUM(F$20:$K20,$M$20)/7,4)</f>
        <v>#REF!</v>
      </c>
      <c r="O29" s="118" t="e">
        <f>+ROUND(SUM(G$20:$K20,$M$20,$N21:N21)/7,4)</f>
        <v>#REF!</v>
      </c>
      <c r="P29" s="118" t="e">
        <f>+ROUND(SUM(H$20:$K20,$M$20,$N21:O21)/7,4)</f>
        <v>#REF!</v>
      </c>
      <c r="Q29" s="118" t="e">
        <f>+ROUND(SUM(I$20:$K20,$M$20,$N21:P21)/7,4)</f>
        <v>#REF!</v>
      </c>
      <c r="R29" s="118" t="e">
        <f>+ROUND(SUM(J$20:$K20,$M$20,$N21:Q21)/7,4)</f>
        <v>#REF!</v>
      </c>
      <c r="S29" s="118" t="e">
        <f>+ROUND(SUM(K$20:$K20,$M$20,$N21:R21)/7,4)</f>
        <v>#REF!</v>
      </c>
      <c r="T29" s="118" t="e">
        <f>+ROUND(SUM($N$21:S21,M$20:$M20)/7,4)</f>
        <v>#REF!</v>
      </c>
      <c r="U29" s="119" t="e">
        <f>+ROUND(SUM(N$21:T$21)/7,4)</f>
        <v>#REF!</v>
      </c>
      <c r="V29" s="119" t="e">
        <f>+ROUND(SUM(O$21:U$21)/7,4)</f>
        <v>#REF!</v>
      </c>
      <c r="W29" s="119" t="e">
        <f t="shared" ref="W29:BA29" si="5">+ROUND(SUM(P$21:V$21)/7,4)</f>
        <v>#REF!</v>
      </c>
      <c r="X29" s="119" t="e">
        <f t="shared" si="5"/>
        <v>#REF!</v>
      </c>
      <c r="Y29" s="119" t="e">
        <f t="shared" si="5"/>
        <v>#REF!</v>
      </c>
      <c r="Z29" s="119" t="e">
        <f t="shared" si="5"/>
        <v>#REF!</v>
      </c>
      <c r="AA29" s="119" t="e">
        <f t="shared" si="5"/>
        <v>#REF!</v>
      </c>
      <c r="AB29" s="119" t="e">
        <f t="shared" si="5"/>
        <v>#REF!</v>
      </c>
      <c r="AC29" s="119" t="e">
        <f t="shared" si="5"/>
        <v>#REF!</v>
      </c>
      <c r="AD29" s="119" t="e">
        <f t="shared" si="5"/>
        <v>#REF!</v>
      </c>
      <c r="AE29" s="119" t="e">
        <f t="shared" si="5"/>
        <v>#REF!</v>
      </c>
      <c r="AF29" s="119" t="e">
        <f t="shared" si="5"/>
        <v>#REF!</v>
      </c>
      <c r="AG29" s="119" t="e">
        <f t="shared" si="5"/>
        <v>#REF!</v>
      </c>
      <c r="AH29" s="119" t="e">
        <f t="shared" si="5"/>
        <v>#REF!</v>
      </c>
      <c r="AI29" s="119" t="e">
        <f t="shared" si="5"/>
        <v>#REF!</v>
      </c>
      <c r="AJ29" s="119" t="e">
        <f t="shared" si="5"/>
        <v>#REF!</v>
      </c>
      <c r="AK29" s="119" t="e">
        <f t="shared" si="5"/>
        <v>#REF!</v>
      </c>
      <c r="AL29" s="119" t="e">
        <f t="shared" si="5"/>
        <v>#REF!</v>
      </c>
      <c r="AM29" s="119" t="e">
        <f t="shared" si="5"/>
        <v>#REF!</v>
      </c>
      <c r="AN29" s="119" t="e">
        <f t="shared" si="5"/>
        <v>#REF!</v>
      </c>
      <c r="AO29" s="119" t="e">
        <f t="shared" si="5"/>
        <v>#REF!</v>
      </c>
      <c r="AP29" s="119" t="e">
        <f t="shared" si="5"/>
        <v>#REF!</v>
      </c>
      <c r="AQ29" s="119" t="e">
        <f t="shared" si="5"/>
        <v>#REF!</v>
      </c>
      <c r="AR29" s="119" t="e">
        <f t="shared" si="5"/>
        <v>#REF!</v>
      </c>
      <c r="AS29" s="119" t="e">
        <f t="shared" si="5"/>
        <v>#REF!</v>
      </c>
      <c r="AT29" s="119" t="e">
        <f t="shared" si="5"/>
        <v>#REF!</v>
      </c>
      <c r="AU29" s="119" t="e">
        <f t="shared" si="5"/>
        <v>#REF!</v>
      </c>
      <c r="AV29" s="119" t="e">
        <f t="shared" si="5"/>
        <v>#REF!</v>
      </c>
      <c r="AW29" s="119" t="e">
        <f t="shared" si="5"/>
        <v>#REF!</v>
      </c>
      <c r="AX29" s="119" t="e">
        <f t="shared" si="5"/>
        <v>#REF!</v>
      </c>
      <c r="AY29" s="119" t="e">
        <f t="shared" si="5"/>
        <v>#REF!</v>
      </c>
      <c r="AZ29" s="119" t="e">
        <f t="shared" si="5"/>
        <v>#REF!</v>
      </c>
      <c r="BA29" s="119" t="e">
        <f t="shared" si="5"/>
        <v>#REF!</v>
      </c>
    </row>
    <row r="30" spans="3:53" outlineLevel="1"/>
    <row r="31" spans="3:53" outlineLevel="1">
      <c r="D31" s="103" t="s">
        <v>409</v>
      </c>
      <c r="E31" s="103" t="s">
        <v>406</v>
      </c>
    </row>
    <row r="32" spans="3:53" outlineLevel="1">
      <c r="E32" s="57" t="s">
        <v>398</v>
      </c>
      <c r="N32" s="117" t="e">
        <f>+ROUND(SUM(F$20:$L20)/7,4)</f>
        <v>#REF!</v>
      </c>
      <c r="O32" s="118" t="e">
        <f>+ROUND(SUM($N20:N$20,G$20:$L20)/7,4)</f>
        <v>#REF!</v>
      </c>
      <c r="P32" s="118" t="e">
        <f>+ROUND(SUM($N20:O$20,H$20:$L20)/7,4)</f>
        <v>#REF!</v>
      </c>
      <c r="Q32" s="118" t="e">
        <f>+ROUND(SUM($N20:P$20,I$20:$L20)/7,4)</f>
        <v>#REF!</v>
      </c>
      <c r="R32" s="118" t="e">
        <f>+ROUND(SUM($N20:Q$20,J$20:$L20)/7,4)</f>
        <v>#REF!</v>
      </c>
      <c r="S32" s="118" t="e">
        <f>+ROUND(SUM($N20:R$20,K$20:$L20)/7,4)</f>
        <v>#REF!</v>
      </c>
      <c r="T32" s="117" t="e">
        <f>+ROUND(SUM($N20:S$20,L$20:$L20)/7,4)</f>
        <v>#REF!</v>
      </c>
      <c r="U32" s="119" t="e">
        <f>+ROUND(SUM(N$20:T$20)/7,4)</f>
        <v>#REF!</v>
      </c>
      <c r="V32" s="119" t="e">
        <f t="shared" ref="V32:BA32" si="6">+ROUND(SUM(O$20:U$20)/7,4)</f>
        <v>#REF!</v>
      </c>
      <c r="W32" s="119" t="e">
        <f t="shared" si="6"/>
        <v>#REF!</v>
      </c>
      <c r="X32" s="119" t="e">
        <f t="shared" si="6"/>
        <v>#REF!</v>
      </c>
      <c r="Y32" s="119" t="e">
        <f t="shared" si="6"/>
        <v>#REF!</v>
      </c>
      <c r="Z32" s="119" t="e">
        <f t="shared" si="6"/>
        <v>#REF!</v>
      </c>
      <c r="AA32" s="119" t="e">
        <f t="shared" si="6"/>
        <v>#REF!</v>
      </c>
      <c r="AB32" s="119" t="e">
        <f t="shared" si="6"/>
        <v>#REF!</v>
      </c>
      <c r="AC32" s="119" t="e">
        <f t="shared" si="6"/>
        <v>#REF!</v>
      </c>
      <c r="AD32" s="119" t="e">
        <f t="shared" si="6"/>
        <v>#REF!</v>
      </c>
      <c r="AE32" s="119" t="e">
        <f t="shared" si="6"/>
        <v>#REF!</v>
      </c>
      <c r="AF32" s="119" t="e">
        <f t="shared" si="6"/>
        <v>#REF!</v>
      </c>
      <c r="AG32" s="119" t="e">
        <f t="shared" si="6"/>
        <v>#REF!</v>
      </c>
      <c r="AH32" s="119" t="e">
        <f t="shared" si="6"/>
        <v>#REF!</v>
      </c>
      <c r="AI32" s="119" t="e">
        <f t="shared" si="6"/>
        <v>#REF!</v>
      </c>
      <c r="AJ32" s="119" t="e">
        <f t="shared" si="6"/>
        <v>#REF!</v>
      </c>
      <c r="AK32" s="119" t="e">
        <f t="shared" si="6"/>
        <v>#REF!</v>
      </c>
      <c r="AL32" s="119" t="e">
        <f t="shared" si="6"/>
        <v>#REF!</v>
      </c>
      <c r="AM32" s="119" t="e">
        <f t="shared" si="6"/>
        <v>#REF!</v>
      </c>
      <c r="AN32" s="119" t="e">
        <f t="shared" si="6"/>
        <v>#REF!</v>
      </c>
      <c r="AO32" s="119" t="e">
        <f t="shared" si="6"/>
        <v>#REF!</v>
      </c>
      <c r="AP32" s="119" t="e">
        <f t="shared" si="6"/>
        <v>#REF!</v>
      </c>
      <c r="AQ32" s="119" t="e">
        <f t="shared" si="6"/>
        <v>#REF!</v>
      </c>
      <c r="AR32" s="119" t="e">
        <f t="shared" si="6"/>
        <v>#REF!</v>
      </c>
      <c r="AS32" s="119" t="e">
        <f t="shared" si="6"/>
        <v>#REF!</v>
      </c>
      <c r="AT32" s="119" t="e">
        <f t="shared" si="6"/>
        <v>#REF!</v>
      </c>
      <c r="AU32" s="119" t="e">
        <f t="shared" si="6"/>
        <v>#REF!</v>
      </c>
      <c r="AV32" s="119" t="e">
        <f t="shared" si="6"/>
        <v>#REF!</v>
      </c>
      <c r="AW32" s="119" t="e">
        <f t="shared" si="6"/>
        <v>#REF!</v>
      </c>
      <c r="AX32" s="119" t="e">
        <f t="shared" si="6"/>
        <v>#REF!</v>
      </c>
      <c r="AY32" s="119" t="e">
        <f t="shared" si="6"/>
        <v>#REF!</v>
      </c>
      <c r="AZ32" s="119" t="e">
        <f t="shared" si="6"/>
        <v>#REF!</v>
      </c>
      <c r="BA32" s="119" t="e">
        <f t="shared" si="6"/>
        <v>#REF!</v>
      </c>
    </row>
    <row r="33" spans="3:53" outlineLevel="1">
      <c r="E33" s="57" t="s">
        <v>399</v>
      </c>
      <c r="N33" s="117" t="e">
        <f>+ROUND(SUM(F20:$K$20,$M$20)/7,4)</f>
        <v>#REF!</v>
      </c>
      <c r="O33" s="118" t="e">
        <f>+ROUND(SUM(G$20:$K20,$M$20,$N20:N20)/7,4)</f>
        <v>#REF!</v>
      </c>
      <c r="P33" s="118" t="e">
        <f>+ROUND(SUM(H$20:$K20,$M$20,$N20:O20)/7,4)</f>
        <v>#REF!</v>
      </c>
      <c r="Q33" s="118" t="e">
        <f>+ROUND(SUM(I$20:$K20,$M$20,$N20:P20)/7,4)</f>
        <v>#REF!</v>
      </c>
      <c r="R33" s="118" t="e">
        <f>+ROUND(SUM(J$20:$K20,$M$20,$N20:Q20)/7,4)</f>
        <v>#REF!</v>
      </c>
      <c r="S33" s="118" t="e">
        <f>+ROUND(SUM(K$20:$K20,$M$20,$N20:R20)/7,4)</f>
        <v>#REF!</v>
      </c>
      <c r="T33" s="117" t="e">
        <f>+ROUND(SUM($N$20:S20,M$20:$M20)/7,4)</f>
        <v>#REF!</v>
      </c>
      <c r="U33" s="119" t="e">
        <f>+ROUND(SUM(N$20:T$20)/7,4)</f>
        <v>#REF!</v>
      </c>
      <c r="V33" s="119" t="e">
        <f t="shared" ref="V33:BA33" si="7">+ROUND(SUM(O$20:U$20)/7,4)</f>
        <v>#REF!</v>
      </c>
      <c r="W33" s="119" t="e">
        <f t="shared" si="7"/>
        <v>#REF!</v>
      </c>
      <c r="X33" s="119" t="e">
        <f t="shared" si="7"/>
        <v>#REF!</v>
      </c>
      <c r="Y33" s="119" t="e">
        <f t="shared" si="7"/>
        <v>#REF!</v>
      </c>
      <c r="Z33" s="119" t="e">
        <f t="shared" si="7"/>
        <v>#REF!</v>
      </c>
      <c r="AA33" s="119" t="e">
        <f t="shared" si="7"/>
        <v>#REF!</v>
      </c>
      <c r="AB33" s="119" t="e">
        <f t="shared" si="7"/>
        <v>#REF!</v>
      </c>
      <c r="AC33" s="119" t="e">
        <f t="shared" si="7"/>
        <v>#REF!</v>
      </c>
      <c r="AD33" s="119" t="e">
        <f t="shared" si="7"/>
        <v>#REF!</v>
      </c>
      <c r="AE33" s="119" t="e">
        <f t="shared" si="7"/>
        <v>#REF!</v>
      </c>
      <c r="AF33" s="119" t="e">
        <f t="shared" si="7"/>
        <v>#REF!</v>
      </c>
      <c r="AG33" s="119" t="e">
        <f t="shared" si="7"/>
        <v>#REF!</v>
      </c>
      <c r="AH33" s="119" t="e">
        <f t="shared" si="7"/>
        <v>#REF!</v>
      </c>
      <c r="AI33" s="119" t="e">
        <f t="shared" si="7"/>
        <v>#REF!</v>
      </c>
      <c r="AJ33" s="119" t="e">
        <f t="shared" si="7"/>
        <v>#REF!</v>
      </c>
      <c r="AK33" s="119" t="e">
        <f t="shared" si="7"/>
        <v>#REF!</v>
      </c>
      <c r="AL33" s="119" t="e">
        <f t="shared" si="7"/>
        <v>#REF!</v>
      </c>
      <c r="AM33" s="119" t="e">
        <f t="shared" si="7"/>
        <v>#REF!</v>
      </c>
      <c r="AN33" s="119" t="e">
        <f t="shared" si="7"/>
        <v>#REF!</v>
      </c>
      <c r="AO33" s="119" t="e">
        <f t="shared" si="7"/>
        <v>#REF!</v>
      </c>
      <c r="AP33" s="119" t="e">
        <f t="shared" si="7"/>
        <v>#REF!</v>
      </c>
      <c r="AQ33" s="119" t="e">
        <f t="shared" si="7"/>
        <v>#REF!</v>
      </c>
      <c r="AR33" s="119" t="e">
        <f t="shared" si="7"/>
        <v>#REF!</v>
      </c>
      <c r="AS33" s="119" t="e">
        <f t="shared" si="7"/>
        <v>#REF!</v>
      </c>
      <c r="AT33" s="119" t="e">
        <f t="shared" si="7"/>
        <v>#REF!</v>
      </c>
      <c r="AU33" s="119" t="e">
        <f t="shared" si="7"/>
        <v>#REF!</v>
      </c>
      <c r="AV33" s="119" t="e">
        <f t="shared" si="7"/>
        <v>#REF!</v>
      </c>
      <c r="AW33" s="119" t="e">
        <f t="shared" si="7"/>
        <v>#REF!</v>
      </c>
      <c r="AX33" s="119" t="e">
        <f t="shared" si="7"/>
        <v>#REF!</v>
      </c>
      <c r="AY33" s="119" t="e">
        <f t="shared" si="7"/>
        <v>#REF!</v>
      </c>
      <c r="AZ33" s="119" t="e">
        <f t="shared" si="7"/>
        <v>#REF!</v>
      </c>
      <c r="BA33" s="119" t="e">
        <f t="shared" si="7"/>
        <v>#REF!</v>
      </c>
    </row>
    <row r="34" spans="3:53" outlineLevel="1"/>
    <row r="35" spans="3:53" outlineLevel="1">
      <c r="D35" s="103" t="s">
        <v>409</v>
      </c>
      <c r="E35" s="103" t="s">
        <v>407</v>
      </c>
    </row>
    <row r="36" spans="3:53" outlineLevel="1">
      <c r="E36" s="57" t="s">
        <v>398</v>
      </c>
      <c r="N36" s="117" t="e">
        <f>+ROUND(SUM(J$20:L$20)/3,4)</f>
        <v>#REF!</v>
      </c>
      <c r="O36" s="118" t="e">
        <f>+ROUND(SUM(K$20:$L$20,$N$20:N$20)/3,4)</f>
        <v>#REF!</v>
      </c>
      <c r="P36" s="118" t="e">
        <f>+ROUND(SUM(L$20:$L$20,$N$20:O$20)/3,4)</f>
        <v>#REF!</v>
      </c>
      <c r="Q36" s="119" t="e">
        <f>+ROUND(SUM(N$20:P$20)/3,4)</f>
        <v>#REF!</v>
      </c>
      <c r="R36" s="119" t="e">
        <f t="shared" ref="R36:BA36" si="8">+ROUND(SUM(O$20:Q$20)/3,4)</f>
        <v>#REF!</v>
      </c>
      <c r="S36" s="119" t="e">
        <f t="shared" si="8"/>
        <v>#REF!</v>
      </c>
      <c r="T36" s="119" t="e">
        <f t="shared" si="8"/>
        <v>#REF!</v>
      </c>
      <c r="U36" s="119" t="e">
        <f t="shared" si="8"/>
        <v>#REF!</v>
      </c>
      <c r="V36" s="119" t="e">
        <f t="shared" si="8"/>
        <v>#REF!</v>
      </c>
      <c r="W36" s="119" t="e">
        <f t="shared" si="8"/>
        <v>#REF!</v>
      </c>
      <c r="X36" s="119" t="e">
        <f t="shared" si="8"/>
        <v>#REF!</v>
      </c>
      <c r="Y36" s="119" t="e">
        <f t="shared" si="8"/>
        <v>#REF!</v>
      </c>
      <c r="Z36" s="119" t="e">
        <f t="shared" si="8"/>
        <v>#REF!</v>
      </c>
      <c r="AA36" s="119" t="e">
        <f t="shared" si="8"/>
        <v>#REF!</v>
      </c>
      <c r="AB36" s="119" t="e">
        <f t="shared" si="8"/>
        <v>#REF!</v>
      </c>
      <c r="AC36" s="119" t="e">
        <f t="shared" si="8"/>
        <v>#REF!</v>
      </c>
      <c r="AD36" s="119" t="e">
        <f t="shared" si="8"/>
        <v>#REF!</v>
      </c>
      <c r="AE36" s="119" t="e">
        <f t="shared" si="8"/>
        <v>#REF!</v>
      </c>
      <c r="AF36" s="119" t="e">
        <f t="shared" si="8"/>
        <v>#REF!</v>
      </c>
      <c r="AG36" s="119" t="e">
        <f t="shared" si="8"/>
        <v>#REF!</v>
      </c>
      <c r="AH36" s="119" t="e">
        <f t="shared" si="8"/>
        <v>#REF!</v>
      </c>
      <c r="AI36" s="119" t="e">
        <f t="shared" si="8"/>
        <v>#REF!</v>
      </c>
      <c r="AJ36" s="119" t="e">
        <f t="shared" si="8"/>
        <v>#REF!</v>
      </c>
      <c r="AK36" s="119" t="e">
        <f t="shared" si="8"/>
        <v>#REF!</v>
      </c>
      <c r="AL36" s="119" t="e">
        <f t="shared" si="8"/>
        <v>#REF!</v>
      </c>
      <c r="AM36" s="119" t="e">
        <f t="shared" si="8"/>
        <v>#REF!</v>
      </c>
      <c r="AN36" s="119" t="e">
        <f t="shared" si="8"/>
        <v>#REF!</v>
      </c>
      <c r="AO36" s="119" t="e">
        <f t="shared" si="8"/>
        <v>#REF!</v>
      </c>
      <c r="AP36" s="119" t="e">
        <f t="shared" si="8"/>
        <v>#REF!</v>
      </c>
      <c r="AQ36" s="119" t="e">
        <f t="shared" si="8"/>
        <v>#REF!</v>
      </c>
      <c r="AR36" s="119" t="e">
        <f t="shared" si="8"/>
        <v>#REF!</v>
      </c>
      <c r="AS36" s="119" t="e">
        <f t="shared" si="8"/>
        <v>#REF!</v>
      </c>
      <c r="AT36" s="119" t="e">
        <f t="shared" si="8"/>
        <v>#REF!</v>
      </c>
      <c r="AU36" s="119" t="e">
        <f t="shared" si="8"/>
        <v>#REF!</v>
      </c>
      <c r="AV36" s="119" t="e">
        <f t="shared" si="8"/>
        <v>#REF!</v>
      </c>
      <c r="AW36" s="119" t="e">
        <f t="shared" si="8"/>
        <v>#REF!</v>
      </c>
      <c r="AX36" s="119" t="e">
        <f t="shared" si="8"/>
        <v>#REF!</v>
      </c>
      <c r="AY36" s="119" t="e">
        <f t="shared" si="8"/>
        <v>#REF!</v>
      </c>
      <c r="AZ36" s="119" t="e">
        <f t="shared" si="8"/>
        <v>#REF!</v>
      </c>
      <c r="BA36" s="119" t="e">
        <f t="shared" si="8"/>
        <v>#REF!</v>
      </c>
    </row>
    <row r="37" spans="3:53" outlineLevel="1">
      <c r="E37" s="57" t="s">
        <v>399</v>
      </c>
      <c r="N37" s="117" t="e">
        <f>+ROUND(SUM(J$20:$K$20,$M$20:M$20)/3,4)</f>
        <v>#REF!</v>
      </c>
      <c r="O37" s="118" t="e">
        <f>+ROUND(SUM(K$20:$K$20,$M$20:N$20)/3,4)</f>
        <v>#REF!</v>
      </c>
      <c r="P37" s="118" t="e">
        <f>+ROUND(SUM($M$20:O$20)/3,4)</f>
        <v>#REF!</v>
      </c>
      <c r="Q37" s="119" t="e">
        <f>+ROUND(SUM(N$20:P$20)/3,4)</f>
        <v>#REF!</v>
      </c>
      <c r="R37" s="119" t="e">
        <f t="shared" ref="R37:BA37" si="9">+ROUND(SUM(O$20:Q$20)/3,4)</f>
        <v>#REF!</v>
      </c>
      <c r="S37" s="119" t="e">
        <f t="shared" si="9"/>
        <v>#REF!</v>
      </c>
      <c r="T37" s="119" t="e">
        <f t="shared" si="9"/>
        <v>#REF!</v>
      </c>
      <c r="U37" s="119" t="e">
        <f t="shared" si="9"/>
        <v>#REF!</v>
      </c>
      <c r="V37" s="119" t="e">
        <f t="shared" si="9"/>
        <v>#REF!</v>
      </c>
      <c r="W37" s="119" t="e">
        <f t="shared" si="9"/>
        <v>#REF!</v>
      </c>
      <c r="X37" s="119" t="e">
        <f t="shared" si="9"/>
        <v>#REF!</v>
      </c>
      <c r="Y37" s="119" t="e">
        <f t="shared" si="9"/>
        <v>#REF!</v>
      </c>
      <c r="Z37" s="119" t="e">
        <f t="shared" si="9"/>
        <v>#REF!</v>
      </c>
      <c r="AA37" s="119" t="e">
        <f t="shared" si="9"/>
        <v>#REF!</v>
      </c>
      <c r="AB37" s="119" t="e">
        <f t="shared" si="9"/>
        <v>#REF!</v>
      </c>
      <c r="AC37" s="119" t="e">
        <f t="shared" si="9"/>
        <v>#REF!</v>
      </c>
      <c r="AD37" s="119" t="e">
        <f t="shared" si="9"/>
        <v>#REF!</v>
      </c>
      <c r="AE37" s="119" t="e">
        <f t="shared" si="9"/>
        <v>#REF!</v>
      </c>
      <c r="AF37" s="119" t="e">
        <f t="shared" si="9"/>
        <v>#REF!</v>
      </c>
      <c r="AG37" s="119" t="e">
        <f t="shared" si="9"/>
        <v>#REF!</v>
      </c>
      <c r="AH37" s="119" t="e">
        <f t="shared" si="9"/>
        <v>#REF!</v>
      </c>
      <c r="AI37" s="119" t="e">
        <f t="shared" si="9"/>
        <v>#REF!</v>
      </c>
      <c r="AJ37" s="119" t="e">
        <f t="shared" si="9"/>
        <v>#REF!</v>
      </c>
      <c r="AK37" s="119" t="e">
        <f t="shared" si="9"/>
        <v>#REF!</v>
      </c>
      <c r="AL37" s="119" t="e">
        <f t="shared" si="9"/>
        <v>#REF!</v>
      </c>
      <c r="AM37" s="119" t="e">
        <f t="shared" si="9"/>
        <v>#REF!</v>
      </c>
      <c r="AN37" s="119" t="e">
        <f t="shared" si="9"/>
        <v>#REF!</v>
      </c>
      <c r="AO37" s="119" t="e">
        <f t="shared" si="9"/>
        <v>#REF!</v>
      </c>
      <c r="AP37" s="119" t="e">
        <f t="shared" si="9"/>
        <v>#REF!</v>
      </c>
      <c r="AQ37" s="119" t="e">
        <f t="shared" si="9"/>
        <v>#REF!</v>
      </c>
      <c r="AR37" s="119" t="e">
        <f t="shared" si="9"/>
        <v>#REF!</v>
      </c>
      <c r="AS37" s="119" t="e">
        <f t="shared" si="9"/>
        <v>#REF!</v>
      </c>
      <c r="AT37" s="119" t="e">
        <f t="shared" si="9"/>
        <v>#REF!</v>
      </c>
      <c r="AU37" s="119" t="e">
        <f t="shared" si="9"/>
        <v>#REF!</v>
      </c>
      <c r="AV37" s="119" t="e">
        <f t="shared" si="9"/>
        <v>#REF!</v>
      </c>
      <c r="AW37" s="119" t="e">
        <f t="shared" si="9"/>
        <v>#REF!</v>
      </c>
      <c r="AX37" s="119" t="e">
        <f t="shared" si="9"/>
        <v>#REF!</v>
      </c>
      <c r="AY37" s="119" t="e">
        <f t="shared" si="9"/>
        <v>#REF!</v>
      </c>
      <c r="AZ37" s="119" t="e">
        <f t="shared" si="9"/>
        <v>#REF!</v>
      </c>
      <c r="BA37" s="119" t="e">
        <f t="shared" si="9"/>
        <v>#REF!</v>
      </c>
    </row>
    <row r="40" spans="3:53">
      <c r="E40" s="103" t="s">
        <v>408</v>
      </c>
    </row>
    <row r="41" spans="3:53">
      <c r="C41" s="67" t="s">
        <v>231</v>
      </c>
      <c r="D41" s="106"/>
      <c r="N41" s="116" t="e">
        <f>+ROUND(N15-WPF_bazowy!N63,5)</f>
        <v>#REF!</v>
      </c>
      <c r="O41" s="116" t="e">
        <f>+ROUND(O15-WPF_bazowy!O63,5)</f>
        <v>#REF!</v>
      </c>
      <c r="P41" s="116" t="e">
        <f>+ROUND(P15-WPF_bazowy!P63,5)</f>
        <v>#REF!</v>
      </c>
      <c r="Q41" s="116" t="e">
        <f>+ROUND(Q15-WPF_bazowy!Q63,5)</f>
        <v>#REF!</v>
      </c>
      <c r="R41" s="116" t="e">
        <f>+ROUND(R15-WPF_bazowy!R63,5)</f>
        <v>#REF!</v>
      </c>
      <c r="S41" s="116" t="e">
        <f>+ROUND(S15-WPF_bazowy!S63,5)</f>
        <v>#REF!</v>
      </c>
      <c r="T41" s="116" t="e">
        <f>+ROUND(T15-WPF_bazowy!T63,5)</f>
        <v>#REF!</v>
      </c>
      <c r="U41" s="116" t="e">
        <f>+ROUND(U15-WPF_bazowy!U63,5)</f>
        <v>#REF!</v>
      </c>
      <c r="V41" s="116" t="e">
        <f>+ROUND(V15-WPF_bazowy!V63,5)</f>
        <v>#REF!</v>
      </c>
      <c r="W41" s="116" t="e">
        <f>+ROUND(W15-WPF_bazowy!W63,5)</f>
        <v>#REF!</v>
      </c>
      <c r="X41" s="116" t="e">
        <f>+ROUND(X15-WPF_bazowy!X63,5)</f>
        <v>#REF!</v>
      </c>
      <c r="Y41" s="116" t="e">
        <f>+ROUND(Y15-WPF_bazowy!Y63,5)</f>
        <v>#REF!</v>
      </c>
      <c r="Z41" s="116" t="e">
        <f>+ROUND(Z15-WPF_bazowy!Z63,5)</f>
        <v>#REF!</v>
      </c>
      <c r="AA41" s="116" t="e">
        <f>+ROUND(AA15-WPF_bazowy!AA63,5)</f>
        <v>#REF!</v>
      </c>
      <c r="AB41" s="116" t="e">
        <f>+ROUND(AB15-WPF_bazowy!#REF!,5)</f>
        <v>#REF!</v>
      </c>
      <c r="AC41" s="116" t="e">
        <f>+ROUND(AC15-WPF_bazowy!#REF!,5)</f>
        <v>#REF!</v>
      </c>
      <c r="AD41" s="116" t="e">
        <f>+ROUND(AD15-WPF_bazowy!#REF!,5)</f>
        <v>#REF!</v>
      </c>
      <c r="AE41" s="116" t="e">
        <f>+ROUND(AE15-WPF_bazowy!#REF!,5)</f>
        <v>#REF!</v>
      </c>
      <c r="AF41" s="116" t="e">
        <f>+ROUND(AF15-WPF_bazowy!#REF!,5)</f>
        <v>#REF!</v>
      </c>
      <c r="AG41" s="116" t="e">
        <f>+ROUND(AG15-WPF_bazowy!#REF!,5)</f>
        <v>#REF!</v>
      </c>
      <c r="AH41" s="116" t="e">
        <f>+ROUND(AH15-WPF_bazowy!#REF!,5)</f>
        <v>#REF!</v>
      </c>
      <c r="AI41" s="116" t="e">
        <f>+ROUND(AI15-WPF_bazowy!#REF!,5)</f>
        <v>#REF!</v>
      </c>
      <c r="AJ41" s="116" t="e">
        <f>+ROUND(AJ15-WPF_bazowy!#REF!,5)</f>
        <v>#REF!</v>
      </c>
      <c r="AK41" s="116" t="e">
        <f>+ROUND(AK15-WPF_bazowy!#REF!,5)</f>
        <v>#REF!</v>
      </c>
      <c r="AL41" s="116" t="e">
        <f>+ROUND(AL15-WPF_bazowy!#REF!,5)</f>
        <v>#REF!</v>
      </c>
      <c r="AM41" s="116" t="e">
        <f>+ROUND(AM15-WPF_bazowy!#REF!,5)</f>
        <v>#REF!</v>
      </c>
      <c r="AN41" s="116" t="e">
        <f>+ROUND(AN15-WPF_bazowy!#REF!,5)</f>
        <v>#REF!</v>
      </c>
      <c r="AO41" s="116" t="e">
        <f>+ROUND(AO15-WPF_bazowy!#REF!,5)</f>
        <v>#REF!</v>
      </c>
      <c r="AP41" s="116" t="e">
        <f>+ROUND(AP15-WPF_bazowy!#REF!,5)</f>
        <v>#REF!</v>
      </c>
      <c r="AQ41" s="116" t="e">
        <f>+ROUND(AQ15-WPF_bazowy!#REF!,5)</f>
        <v>#REF!</v>
      </c>
      <c r="AR41" s="116" t="e">
        <f>+ROUND(AR15-WPF_bazowy!#REF!,5)</f>
        <v>#REF!</v>
      </c>
      <c r="AS41" s="116" t="e">
        <f>+ROUND(AS15-WPF_bazowy!#REF!,5)</f>
        <v>#REF!</v>
      </c>
      <c r="AT41" s="116" t="e">
        <f>+ROUND(AT15-WPF_bazowy!#REF!,5)</f>
        <v>#REF!</v>
      </c>
      <c r="AU41" s="116" t="e">
        <f>+ROUND(AU15-WPF_bazowy!#REF!,5)</f>
        <v>#REF!</v>
      </c>
      <c r="AV41" s="116" t="e">
        <f>+ROUND(AV15-WPF_bazowy!#REF!,5)</f>
        <v>#REF!</v>
      </c>
      <c r="AW41" s="116" t="e">
        <f>+ROUND(AW15-WPF_bazowy!#REF!,5)</f>
        <v>#REF!</v>
      </c>
      <c r="AX41" s="116" t="e">
        <f>+ROUND(AX15-WPF_bazowy!#REF!,5)</f>
        <v>#REF!</v>
      </c>
      <c r="AY41" s="116" t="e">
        <f>+ROUND(AY15-WPF_bazowy!#REF!,5)</f>
        <v>#REF!</v>
      </c>
      <c r="AZ41" s="116" t="e">
        <f>+ROUND(AZ15-WPF_bazowy!#REF!,5)</f>
        <v>#REF!</v>
      </c>
      <c r="BA41" s="116" t="e">
        <f>+ROUND(BA15-WPF_bazowy!#REF!,5)</f>
        <v>#REF!</v>
      </c>
    </row>
    <row r="42" spans="3:53">
      <c r="C42" s="67" t="s">
        <v>209</v>
      </c>
      <c r="D42" s="106"/>
      <c r="N42" s="116" t="e">
        <f>+ROUND(N16-WPF_bazowy!N64,5)</f>
        <v>#REF!</v>
      </c>
      <c r="O42" s="116" t="e">
        <f>+ROUND(O16-WPF_bazowy!O64,5)</f>
        <v>#REF!</v>
      </c>
      <c r="P42" s="116" t="e">
        <f>+ROUND(P16-WPF_bazowy!P64,5)</f>
        <v>#REF!</v>
      </c>
      <c r="Q42" s="116" t="e">
        <f>+ROUND(Q16-WPF_bazowy!Q64,5)</f>
        <v>#REF!</v>
      </c>
      <c r="R42" s="116" t="e">
        <f>+ROUND(R16-WPF_bazowy!R64,5)</f>
        <v>#REF!</v>
      </c>
      <c r="S42" s="116" t="e">
        <f>+ROUND(S16-WPF_bazowy!S64,5)</f>
        <v>#REF!</v>
      </c>
      <c r="T42" s="116" t="e">
        <f>+ROUND(T16-WPF_bazowy!T64,5)</f>
        <v>#REF!</v>
      </c>
      <c r="U42" s="116" t="e">
        <f>+ROUND(U16-WPF_bazowy!U64,5)</f>
        <v>#REF!</v>
      </c>
      <c r="V42" s="116" t="e">
        <f>+ROUND(V16-WPF_bazowy!V64,5)</f>
        <v>#REF!</v>
      </c>
      <c r="W42" s="116" t="e">
        <f>+ROUND(W16-WPF_bazowy!W64,5)</f>
        <v>#REF!</v>
      </c>
      <c r="X42" s="116" t="e">
        <f>+ROUND(X16-WPF_bazowy!X64,5)</f>
        <v>#REF!</v>
      </c>
      <c r="Y42" s="116" t="e">
        <f>+ROUND(Y16-WPF_bazowy!Y64,5)</f>
        <v>#REF!</v>
      </c>
      <c r="Z42" s="116" t="e">
        <f>+ROUND(Z16-WPF_bazowy!Z64,5)</f>
        <v>#REF!</v>
      </c>
      <c r="AA42" s="116" t="e">
        <f>+ROUND(AA16-WPF_bazowy!AA64,5)</f>
        <v>#REF!</v>
      </c>
      <c r="AB42" s="116" t="e">
        <f>+ROUND(AB16-WPF_bazowy!#REF!,5)</f>
        <v>#REF!</v>
      </c>
      <c r="AC42" s="116" t="e">
        <f>+ROUND(AC16-WPF_bazowy!#REF!,5)</f>
        <v>#REF!</v>
      </c>
      <c r="AD42" s="116" t="e">
        <f>+ROUND(AD16-WPF_bazowy!#REF!,5)</f>
        <v>#REF!</v>
      </c>
      <c r="AE42" s="116" t="e">
        <f>+ROUND(AE16-WPF_bazowy!#REF!,5)</f>
        <v>#REF!</v>
      </c>
      <c r="AF42" s="116" t="e">
        <f>+ROUND(AF16-WPF_bazowy!#REF!,5)</f>
        <v>#REF!</v>
      </c>
      <c r="AG42" s="116" t="e">
        <f>+ROUND(AG16-WPF_bazowy!#REF!,5)</f>
        <v>#REF!</v>
      </c>
      <c r="AH42" s="116" t="e">
        <f>+ROUND(AH16-WPF_bazowy!#REF!,5)</f>
        <v>#REF!</v>
      </c>
      <c r="AI42" s="116" t="e">
        <f>+ROUND(AI16-WPF_bazowy!#REF!,5)</f>
        <v>#REF!</v>
      </c>
      <c r="AJ42" s="116" t="e">
        <f>+ROUND(AJ16-WPF_bazowy!#REF!,5)</f>
        <v>#REF!</v>
      </c>
      <c r="AK42" s="116" t="e">
        <f>+ROUND(AK16-WPF_bazowy!#REF!,5)</f>
        <v>#REF!</v>
      </c>
      <c r="AL42" s="116" t="e">
        <f>+ROUND(AL16-WPF_bazowy!#REF!,5)</f>
        <v>#REF!</v>
      </c>
      <c r="AM42" s="116" t="e">
        <f>+ROUND(AM16-WPF_bazowy!#REF!,5)</f>
        <v>#REF!</v>
      </c>
      <c r="AN42" s="116" t="e">
        <f>+ROUND(AN16-WPF_bazowy!#REF!,5)</f>
        <v>#REF!</v>
      </c>
      <c r="AO42" s="116" t="e">
        <f>+ROUND(AO16-WPF_bazowy!#REF!,5)</f>
        <v>#REF!</v>
      </c>
      <c r="AP42" s="116" t="e">
        <f>+ROUND(AP16-WPF_bazowy!#REF!,5)</f>
        <v>#REF!</v>
      </c>
      <c r="AQ42" s="116" t="e">
        <f>+ROUND(AQ16-WPF_bazowy!#REF!,5)</f>
        <v>#REF!</v>
      </c>
      <c r="AR42" s="116" t="e">
        <f>+ROUND(AR16-WPF_bazowy!#REF!,5)</f>
        <v>#REF!</v>
      </c>
      <c r="AS42" s="116" t="e">
        <f>+ROUND(AS16-WPF_bazowy!#REF!,5)</f>
        <v>#REF!</v>
      </c>
      <c r="AT42" s="116" t="e">
        <f>+ROUND(AT16-WPF_bazowy!#REF!,5)</f>
        <v>#REF!</v>
      </c>
      <c r="AU42" s="116" t="e">
        <f>+ROUND(AU16-WPF_bazowy!#REF!,5)</f>
        <v>#REF!</v>
      </c>
      <c r="AV42" s="116" t="e">
        <f>+ROUND(AV16-WPF_bazowy!#REF!,5)</f>
        <v>#REF!</v>
      </c>
      <c r="AW42" s="116" t="e">
        <f>+ROUND(AW16-WPF_bazowy!#REF!,5)</f>
        <v>#REF!</v>
      </c>
      <c r="AX42" s="116" t="e">
        <f>+ROUND(AX16-WPF_bazowy!#REF!,5)</f>
        <v>#REF!</v>
      </c>
      <c r="AY42" s="116" t="e">
        <f>+ROUND(AY16-WPF_bazowy!#REF!,5)</f>
        <v>#REF!</v>
      </c>
      <c r="AZ42" s="116" t="e">
        <f>+ROUND(AZ16-WPF_bazowy!#REF!,5)</f>
        <v>#REF!</v>
      </c>
      <c r="BA42" s="116" t="e">
        <f>+ROUND(BA16-WPF_bazowy!#REF!,5)</f>
        <v>#REF!</v>
      </c>
    </row>
  </sheetData>
  <conditionalFormatting sqref="N41:BA42">
    <cfRule type="cellIs" dxfId="2" priority="1" stopIfTrue="1" operator="not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2">
    <tabColor rgb="FFFFFF00"/>
  </sheetPr>
  <dimension ref="B1:D15"/>
  <sheetViews>
    <sheetView zoomScaleNormal="100" workbookViewId="0">
      <pane ySplit="3" topLeftCell="A4" activePane="bottomLeft" state="frozen"/>
      <selection pane="bottomLeft" activeCell="D4" sqref="D4"/>
    </sheetView>
  </sheetViews>
  <sheetFormatPr defaultRowHeight="14"/>
  <cols>
    <col min="1" max="1" width="4" customWidth="1"/>
    <col min="2" max="2" width="81.25" style="82" customWidth="1"/>
    <col min="3" max="3" width="1.75" customWidth="1"/>
    <col min="4" max="4" width="81.25" customWidth="1"/>
  </cols>
  <sheetData>
    <row r="1" spans="2:4">
      <c r="B1" s="110" t="s">
        <v>352</v>
      </c>
    </row>
    <row r="2" spans="2:4" ht="15.5">
      <c r="B2" s="143" t="e">
        <f>+"Instrukcja korzystania z raportu 'Analiza WPF/Symulacja ("&amp;ver_raportu&amp;")'"</f>
        <v>#REF!</v>
      </c>
      <c r="C2" s="143"/>
      <c r="D2" s="143"/>
    </row>
    <row r="3" spans="2:4">
      <c r="B3" s="112" t="s">
        <v>383</v>
      </c>
      <c r="C3" s="111"/>
      <c r="D3" s="112" t="s">
        <v>382</v>
      </c>
    </row>
    <row r="4" spans="2:4" ht="98">
      <c r="B4" s="115" t="s">
        <v>373</v>
      </c>
      <c r="C4" s="114"/>
      <c r="D4" s="113" t="s">
        <v>423</v>
      </c>
    </row>
    <row r="5" spans="2:4" ht="84">
      <c r="B5" s="115" t="s">
        <v>374</v>
      </c>
      <c r="C5" s="114"/>
      <c r="D5" s="109" t="s">
        <v>381</v>
      </c>
    </row>
    <row r="6" spans="2:4" ht="42">
      <c r="B6" s="109" t="s">
        <v>375</v>
      </c>
      <c r="C6" s="114"/>
      <c r="D6" s="113" t="s">
        <v>377</v>
      </c>
    </row>
    <row r="7" spans="2:4" ht="140">
      <c r="B7" s="113" t="s">
        <v>379</v>
      </c>
      <c r="C7" s="114"/>
      <c r="D7" s="108" t="s">
        <v>376</v>
      </c>
    </row>
    <row r="8" spans="2:4" ht="42">
      <c r="B8" s="113" t="s">
        <v>380</v>
      </c>
      <c r="C8" s="114"/>
    </row>
    <row r="9" spans="2:4" ht="70">
      <c r="B9" s="113" t="s">
        <v>378</v>
      </c>
      <c r="C9" s="114"/>
    </row>
    <row r="10" spans="2:4">
      <c r="B10"/>
    </row>
    <row r="11" spans="2:4">
      <c r="B11"/>
    </row>
    <row r="15" spans="2:4">
      <c r="B15"/>
    </row>
  </sheetData>
  <mergeCells count="1">
    <mergeCell ref="B2:D2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7">
    <tabColor rgb="FF00B050"/>
    <outlinePr summaryBelow="0"/>
    <pageSetUpPr fitToPage="1"/>
  </sheetPr>
  <dimension ref="A1:AA112"/>
  <sheetViews>
    <sheetView tabSelected="1" zoomScaleNormal="100" zoomScaleSheetLayoutView="70" workbookViewId="0">
      <pane xSplit="5" ySplit="2" topLeftCell="F18" activePane="bottomRight" state="frozen"/>
      <selection activeCell="H31" sqref="H31"/>
      <selection pane="topRight" activeCell="H31" sqref="H31"/>
      <selection pane="bottomLeft" activeCell="H31" sqref="H31"/>
      <selection pane="bottomRight" activeCell="A113" sqref="A113:IV293"/>
    </sheetView>
  </sheetViews>
  <sheetFormatPr defaultRowHeight="14" outlineLevelRow="5" outlineLevelCol="2"/>
  <cols>
    <col min="1" max="2" width="4.25" style="18" hidden="1" customWidth="1" outlineLevel="1"/>
    <col min="3" max="3" width="10.75" style="1" customWidth="1" collapsed="1"/>
    <col min="4" max="4" width="61.25" style="1" hidden="1" customWidth="1" outlineLevel="1"/>
    <col min="5" max="5" width="70.58203125" style="1" customWidth="1" collapsed="1"/>
    <col min="6" max="9" width="14" style="1" hidden="1" customWidth="1" outlineLevel="2"/>
    <col min="10" max="10" width="14" style="1" hidden="1" customWidth="1" outlineLevel="1" collapsed="1"/>
    <col min="11" max="13" width="14" style="1" hidden="1" customWidth="1" outlineLevel="1"/>
    <col min="14" max="14" width="14" style="1" customWidth="1" collapsed="1"/>
    <col min="15" max="17" width="14" style="1" customWidth="1"/>
    <col min="18" max="27" width="14" style="1" customWidth="1" outlineLevel="1"/>
  </cols>
  <sheetData>
    <row r="1" spans="1:27" ht="29.5">
      <c r="C1" s="144" t="s">
        <v>473</v>
      </c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</row>
    <row r="2" spans="1:27">
      <c r="A2" s="19" t="s">
        <v>98</v>
      </c>
      <c r="B2" s="19" t="s">
        <v>307</v>
      </c>
      <c r="C2" s="43" t="s">
        <v>0</v>
      </c>
      <c r="D2" s="44" t="s">
        <v>430</v>
      </c>
      <c r="E2" s="55" t="s">
        <v>1</v>
      </c>
      <c r="F2" s="49">
        <f t="shared" ref="F2:K2" si="0">+G2-1</f>
        <v>2018</v>
      </c>
      <c r="G2" s="49">
        <f t="shared" si="0"/>
        <v>2019</v>
      </c>
      <c r="H2" s="49">
        <f t="shared" si="0"/>
        <v>2020</v>
      </c>
      <c r="I2" s="49">
        <f t="shared" si="0"/>
        <v>2021</v>
      </c>
      <c r="J2" s="49">
        <f t="shared" si="0"/>
        <v>2022</v>
      </c>
      <c r="K2" s="45">
        <f t="shared" si="0"/>
        <v>2023</v>
      </c>
      <c r="L2" s="45">
        <f>+M2</f>
        <v>2024</v>
      </c>
      <c r="M2" s="62">
        <f>+N2-1</f>
        <v>2024</v>
      </c>
      <c r="N2" s="60">
        <f>+DaneZrodlowe!$N$1</f>
        <v>2025</v>
      </c>
      <c r="O2" s="46">
        <f>+N2+1</f>
        <v>2026</v>
      </c>
      <c r="P2" s="46">
        <f t="shared" ref="P2:AA2" si="1">+O2+1</f>
        <v>2027</v>
      </c>
      <c r="Q2" s="46">
        <f t="shared" si="1"/>
        <v>2028</v>
      </c>
      <c r="R2" s="46">
        <f t="shared" si="1"/>
        <v>2029</v>
      </c>
      <c r="S2" s="46">
        <f t="shared" si="1"/>
        <v>2030</v>
      </c>
      <c r="T2" s="46">
        <f t="shared" si="1"/>
        <v>2031</v>
      </c>
      <c r="U2" s="46">
        <f t="shared" si="1"/>
        <v>2032</v>
      </c>
      <c r="V2" s="46">
        <f t="shared" si="1"/>
        <v>2033</v>
      </c>
      <c r="W2" s="46">
        <f t="shared" si="1"/>
        <v>2034</v>
      </c>
      <c r="X2" s="46">
        <f t="shared" si="1"/>
        <v>2035</v>
      </c>
      <c r="Y2" s="46">
        <f t="shared" si="1"/>
        <v>2036</v>
      </c>
      <c r="Z2" s="46">
        <f t="shared" si="1"/>
        <v>2037</v>
      </c>
      <c r="AA2" s="46">
        <f t="shared" si="1"/>
        <v>2038</v>
      </c>
    </row>
    <row r="3" spans="1:27">
      <c r="A3" s="18" t="s">
        <v>25</v>
      </c>
      <c r="B3" s="18" t="s">
        <v>25</v>
      </c>
      <c r="C3" s="47">
        <v>1</v>
      </c>
      <c r="D3" s="40"/>
      <c r="E3" s="56" t="s">
        <v>21</v>
      </c>
      <c r="F3" s="50">
        <f>45578391.97</f>
        <v>45578391.969999999</v>
      </c>
      <c r="G3" s="50">
        <f>43869817.42</f>
        <v>43869817.420000002</v>
      </c>
      <c r="H3" s="50">
        <f>51953032.34</f>
        <v>51953032.340000004</v>
      </c>
      <c r="I3" s="50">
        <f>54005795.94</f>
        <v>54005795.939999998</v>
      </c>
      <c r="J3" s="50">
        <f>62903250.93</f>
        <v>62903250.93</v>
      </c>
      <c r="K3" s="41">
        <f>64552210.35</f>
        <v>64552210.350000001</v>
      </c>
      <c r="L3" s="41">
        <f>70598751.88</f>
        <v>70598751.879999995</v>
      </c>
      <c r="M3" s="63">
        <f>69715748.05</f>
        <v>69715748.049999997</v>
      </c>
      <c r="N3" s="61">
        <f>80094509.25</f>
        <v>80094509.25</v>
      </c>
      <c r="O3" s="42">
        <f>71984517</f>
        <v>71984517</v>
      </c>
      <c r="P3" s="42">
        <f>70126267</f>
        <v>70126267</v>
      </c>
      <c r="Q3" s="42">
        <f>65851685.6</f>
        <v>65851685.600000001</v>
      </c>
      <c r="R3" s="42">
        <f>62057545</f>
        <v>62057545</v>
      </c>
      <c r="S3" s="42">
        <f>64281830</f>
        <v>64281830</v>
      </c>
      <c r="T3" s="42">
        <f>65184721</f>
        <v>65184721</v>
      </c>
      <c r="U3" s="42">
        <f>66807186</f>
        <v>66807186</v>
      </c>
      <c r="V3" s="42">
        <f>68470212</f>
        <v>68470212</v>
      </c>
      <c r="W3" s="42">
        <f>70174813</f>
        <v>70174813</v>
      </c>
      <c r="X3" s="42">
        <f>71922029</f>
        <v>71922029</v>
      </c>
      <c r="Y3" s="42">
        <f>73526777</f>
        <v>73526777</v>
      </c>
      <c r="Z3" s="42">
        <f>75362447</f>
        <v>75362447</v>
      </c>
      <c r="AA3" s="42">
        <f>77244008</f>
        <v>77244008</v>
      </c>
    </row>
    <row r="4" spans="1:27" outlineLevel="1">
      <c r="A4" s="18" t="s">
        <v>25</v>
      </c>
      <c r="B4" s="18" t="s">
        <v>25</v>
      </c>
      <c r="C4" s="21" t="s">
        <v>46</v>
      </c>
      <c r="D4" s="38" t="s">
        <v>285</v>
      </c>
      <c r="E4" s="87" t="s">
        <v>241</v>
      </c>
      <c r="F4" s="51">
        <f>40816229.43</f>
        <v>40816229.43</v>
      </c>
      <c r="G4" s="51">
        <f>39679752.71</f>
        <v>39679752.710000001</v>
      </c>
      <c r="H4" s="51">
        <f>44979286.18</f>
        <v>44979286.18</v>
      </c>
      <c r="I4" s="51">
        <f>48048847.92</f>
        <v>48048847.920000002</v>
      </c>
      <c r="J4" s="51">
        <f>53938544.59</f>
        <v>53938544.590000004</v>
      </c>
      <c r="K4" s="24">
        <f>47131784</f>
        <v>47131784</v>
      </c>
      <c r="L4" s="24">
        <f>52394926.83</f>
        <v>52394926.829999998</v>
      </c>
      <c r="M4" s="25">
        <f>56080960.82</f>
        <v>56080960.82</v>
      </c>
      <c r="N4" s="26">
        <f>59814045.38</f>
        <v>59814045.380000003</v>
      </c>
      <c r="O4" s="27">
        <f>60547017</f>
        <v>60547017</v>
      </c>
      <c r="P4" s="27">
        <f>58371267</f>
        <v>58371267</v>
      </c>
      <c r="Q4" s="27">
        <f>60275055</f>
        <v>60275055</v>
      </c>
      <c r="R4" s="27">
        <f>61957545</f>
        <v>61957545</v>
      </c>
      <c r="S4" s="27">
        <f>63501830</f>
        <v>63501830</v>
      </c>
      <c r="T4" s="27">
        <f>65084721</f>
        <v>65084721</v>
      </c>
      <c r="U4" s="27">
        <f>66707186</f>
        <v>66707186</v>
      </c>
      <c r="V4" s="27">
        <f>68370212</f>
        <v>68370212</v>
      </c>
      <c r="W4" s="27">
        <f>70074813</f>
        <v>70074813</v>
      </c>
      <c r="X4" s="27">
        <f>71822029</f>
        <v>71822029</v>
      </c>
      <c r="Y4" s="27">
        <f>73426777</f>
        <v>73426777</v>
      </c>
      <c r="Z4" s="27">
        <f>75262447</f>
        <v>75262447</v>
      </c>
      <c r="AA4" s="27">
        <f>77144008</f>
        <v>77144008</v>
      </c>
    </row>
    <row r="5" spans="1:27" outlineLevel="2">
      <c r="C5" s="21" t="s">
        <v>27</v>
      </c>
      <c r="D5" s="38" t="s">
        <v>328</v>
      </c>
      <c r="E5" s="57" t="s">
        <v>75</v>
      </c>
      <c r="F5" s="51">
        <f>0</f>
        <v>0</v>
      </c>
      <c r="G5" s="51">
        <f>5362054</f>
        <v>5362054</v>
      </c>
      <c r="H5" s="51">
        <f>5260436</f>
        <v>5260436</v>
      </c>
      <c r="I5" s="51">
        <f>5600459</f>
        <v>5600459</v>
      </c>
      <c r="J5" s="51">
        <f>7791204.57</f>
        <v>7791204.5700000003</v>
      </c>
      <c r="K5" s="24">
        <f>4736538</f>
        <v>4736538</v>
      </c>
      <c r="L5" s="24">
        <f>6574277</f>
        <v>6574277</v>
      </c>
      <c r="M5" s="25">
        <f>7320483</f>
        <v>7320483</v>
      </c>
      <c r="N5" s="26">
        <f>21822633.25</f>
        <v>21822633.25</v>
      </c>
      <c r="O5" s="27">
        <f>22586425</f>
        <v>22586425</v>
      </c>
      <c r="P5" s="27">
        <f>23286604</f>
        <v>23286604</v>
      </c>
      <c r="Q5" s="27">
        <f>23938629</f>
        <v>23938629</v>
      </c>
      <c r="R5" s="27">
        <f>24608911</f>
        <v>24608911</v>
      </c>
      <c r="S5" s="27">
        <f>25224134</f>
        <v>25224134</v>
      </c>
      <c r="T5" s="27">
        <f>25854737</f>
        <v>25854737</v>
      </c>
      <c r="U5" s="27">
        <f>26501105</f>
        <v>26501105</v>
      </c>
      <c r="V5" s="27">
        <f>27163633</f>
        <v>27163633</v>
      </c>
      <c r="W5" s="27">
        <f>27842724</f>
        <v>27842724</v>
      </c>
      <c r="X5" s="27">
        <f>28538792</f>
        <v>28538792</v>
      </c>
      <c r="Y5" s="27">
        <f>29252262</f>
        <v>29252262</v>
      </c>
      <c r="Z5" s="27">
        <f>29983569</f>
        <v>29983569</v>
      </c>
      <c r="AA5" s="27">
        <f>30733158</f>
        <v>30733158</v>
      </c>
    </row>
    <row r="6" spans="1:27" outlineLevel="2">
      <c r="C6" s="21" t="s">
        <v>28</v>
      </c>
      <c r="D6" s="38" t="s">
        <v>329</v>
      </c>
      <c r="E6" s="57" t="s">
        <v>76</v>
      </c>
      <c r="F6" s="51">
        <f>0</f>
        <v>0</v>
      </c>
      <c r="G6" s="51">
        <f>84298.48</f>
        <v>84298.48</v>
      </c>
      <c r="H6" s="51">
        <f>67695.15</f>
        <v>67695.149999999994</v>
      </c>
      <c r="I6" s="51">
        <f>44053.68</f>
        <v>44053.68</v>
      </c>
      <c r="J6" s="51">
        <f>90750</f>
        <v>90750</v>
      </c>
      <c r="K6" s="24">
        <f>113362</f>
        <v>113362</v>
      </c>
      <c r="L6" s="24">
        <f>141781</f>
        <v>141781</v>
      </c>
      <c r="M6" s="25">
        <f>141781</f>
        <v>141781</v>
      </c>
      <c r="N6" s="26">
        <f>252875.66</f>
        <v>252875.66</v>
      </c>
      <c r="O6" s="27">
        <f>261726</f>
        <v>261726</v>
      </c>
      <c r="P6" s="27">
        <f>269840</f>
        <v>269840</v>
      </c>
      <c r="Q6" s="27">
        <f>277396</f>
        <v>277396</v>
      </c>
      <c r="R6" s="27">
        <f>285163</f>
        <v>285163</v>
      </c>
      <c r="S6" s="27">
        <f>292292</f>
        <v>292292</v>
      </c>
      <c r="T6" s="27">
        <f>299599</f>
        <v>299599</v>
      </c>
      <c r="U6" s="27">
        <f>307089</f>
        <v>307089</v>
      </c>
      <c r="V6" s="27">
        <f>314766</f>
        <v>314766</v>
      </c>
      <c r="W6" s="27">
        <f>322635</f>
        <v>322635</v>
      </c>
      <c r="X6" s="27">
        <f>330701</f>
        <v>330701</v>
      </c>
      <c r="Y6" s="27">
        <f>338969</f>
        <v>338969</v>
      </c>
      <c r="Z6" s="27">
        <f>347443</f>
        <v>347443</v>
      </c>
      <c r="AA6" s="27">
        <f>356129</f>
        <v>356129</v>
      </c>
    </row>
    <row r="7" spans="1:27" outlineLevel="2">
      <c r="C7" s="21" t="s">
        <v>29</v>
      </c>
      <c r="D7" s="38" t="s">
        <v>330</v>
      </c>
      <c r="E7" s="57" t="s">
        <v>78</v>
      </c>
      <c r="F7" s="51">
        <f>0</f>
        <v>0</v>
      </c>
      <c r="G7" s="51">
        <f>8088533</f>
        <v>8088533</v>
      </c>
      <c r="H7" s="51">
        <f>10053833</f>
        <v>10053833</v>
      </c>
      <c r="I7" s="51">
        <f>12320118</f>
        <v>12320118</v>
      </c>
      <c r="J7" s="51">
        <f>12088141</f>
        <v>12088141</v>
      </c>
      <c r="K7" s="24">
        <f>15991902.05</f>
        <v>15991902.050000001</v>
      </c>
      <c r="L7" s="24">
        <f>17846674</f>
        <v>17846674</v>
      </c>
      <c r="M7" s="25">
        <f>18610468</f>
        <v>18610468</v>
      </c>
      <c r="N7" s="26">
        <f>9125896.65</f>
        <v>9125896.6500000004</v>
      </c>
      <c r="O7" s="27">
        <f>9328844</f>
        <v>9328844</v>
      </c>
      <c r="P7" s="27">
        <f>9618038</f>
        <v>9618038</v>
      </c>
      <c r="Q7" s="27">
        <f>9887343</f>
        <v>9887343</v>
      </c>
      <c r="R7" s="27">
        <f>10164189</f>
        <v>10164189</v>
      </c>
      <c r="S7" s="27">
        <f>10418294</f>
        <v>10418294</v>
      </c>
      <c r="T7" s="27">
        <f>10678751</f>
        <v>10678751</v>
      </c>
      <c r="U7" s="27">
        <f>10945720</f>
        <v>10945720</v>
      </c>
      <c r="V7" s="27">
        <f>11219363</f>
        <v>11219363</v>
      </c>
      <c r="W7" s="27">
        <f>11499847</f>
        <v>11499847</v>
      </c>
      <c r="X7" s="27">
        <f>11787343</f>
        <v>11787343</v>
      </c>
      <c r="Y7" s="27">
        <f>12082027</f>
        <v>12082027</v>
      </c>
      <c r="Z7" s="27">
        <f>12384078</f>
        <v>12384078</v>
      </c>
      <c r="AA7" s="27">
        <f>12693680</f>
        <v>12693680</v>
      </c>
    </row>
    <row r="8" spans="1:27" outlineLevel="2">
      <c r="A8" s="18" t="s">
        <v>25</v>
      </c>
      <c r="B8" s="18" t="s">
        <v>25</v>
      </c>
      <c r="C8" s="21" t="s">
        <v>30</v>
      </c>
      <c r="D8" s="38" t="s">
        <v>331</v>
      </c>
      <c r="E8" s="57" t="s">
        <v>79</v>
      </c>
      <c r="F8" s="51">
        <f>15295108.14</f>
        <v>15295108.140000001</v>
      </c>
      <c r="G8" s="51">
        <f>17208922.37</f>
        <v>17208922.370000001</v>
      </c>
      <c r="H8" s="51">
        <f>19310805.52</f>
        <v>19310805.52</v>
      </c>
      <c r="I8" s="51">
        <f>18260711.83</f>
        <v>18260711.829999998</v>
      </c>
      <c r="J8" s="51">
        <f>20354911.36</f>
        <v>20354911.359999999</v>
      </c>
      <c r="K8" s="24">
        <f>11553477.49</f>
        <v>11553477.49</v>
      </c>
      <c r="L8" s="24">
        <f>12312548.79</f>
        <v>12312548.789999999</v>
      </c>
      <c r="M8" s="25">
        <f>13569122.93</f>
        <v>13569122.93</v>
      </c>
      <c r="N8" s="26">
        <f>13370945.96</f>
        <v>13370945.960000001</v>
      </c>
      <c r="O8" s="27">
        <f>12212822</f>
        <v>12212822</v>
      </c>
      <c r="P8" s="27">
        <f>10001032</f>
        <v>10001032</v>
      </c>
      <c r="Q8" s="27">
        <f>10281061</f>
        <v>10281061</v>
      </c>
      <c r="R8" s="27">
        <f>10568931</f>
        <v>10568931</v>
      </c>
      <c r="S8" s="27">
        <f>10833154</f>
        <v>10833154</v>
      </c>
      <c r="T8" s="27">
        <f>11103983</f>
        <v>11103983</v>
      </c>
      <c r="U8" s="27">
        <f>11381583</f>
        <v>11381583</v>
      </c>
      <c r="V8" s="27">
        <f>11666123</f>
        <v>11666123</v>
      </c>
      <c r="W8" s="27">
        <f>11957776</f>
        <v>11957776</v>
      </c>
      <c r="X8" s="27">
        <f>12256720</f>
        <v>12256720</v>
      </c>
      <c r="Y8" s="27">
        <f>12563138</f>
        <v>12563138</v>
      </c>
      <c r="Z8" s="27">
        <f>12877216</f>
        <v>12877216</v>
      </c>
      <c r="AA8" s="27">
        <f>13199146</f>
        <v>13199146</v>
      </c>
    </row>
    <row r="9" spans="1:27" outlineLevel="2">
      <c r="C9" s="21" t="s">
        <v>31</v>
      </c>
      <c r="D9" s="38"/>
      <c r="E9" s="57" t="s">
        <v>242</v>
      </c>
      <c r="F9" s="51">
        <f>0</f>
        <v>0</v>
      </c>
      <c r="G9" s="51">
        <f>8935944.86</f>
        <v>8935944.8599999994</v>
      </c>
      <c r="H9" s="51">
        <f>10286516.51</f>
        <v>10286516.51</v>
      </c>
      <c r="I9" s="51">
        <f>11823505.41</f>
        <v>11823505.41</v>
      </c>
      <c r="J9" s="51">
        <f>13613537.66</f>
        <v>13613537.66</v>
      </c>
      <c r="K9" s="24">
        <f>14736504.46</f>
        <v>14736504.460000001</v>
      </c>
      <c r="L9" s="24">
        <f>15519646.04</f>
        <v>15519646.039999999</v>
      </c>
      <c r="M9" s="25">
        <f>16439105.89</f>
        <v>16439105.890000001</v>
      </c>
      <c r="N9" s="26">
        <f>15241693.86</f>
        <v>15241693.859999999</v>
      </c>
      <c r="O9" s="27">
        <f>16157200</f>
        <v>16157200</v>
      </c>
      <c r="P9" s="27">
        <f>15195753</f>
        <v>15195753</v>
      </c>
      <c r="Q9" s="27">
        <f>15890626</f>
        <v>15890626</v>
      </c>
      <c r="R9" s="27">
        <f>16330351</f>
        <v>16330351</v>
      </c>
      <c r="S9" s="27">
        <f>16733956</f>
        <v>16733956</v>
      </c>
      <c r="T9" s="27">
        <f>17147651</f>
        <v>17147651</v>
      </c>
      <c r="U9" s="27">
        <f>17571689</f>
        <v>17571689</v>
      </c>
      <c r="V9" s="27">
        <f>18006327</f>
        <v>18006327</v>
      </c>
      <c r="W9" s="27">
        <f>18451831</f>
        <v>18451831</v>
      </c>
      <c r="X9" s="27">
        <f>18908473</f>
        <v>18908473</v>
      </c>
      <c r="Y9" s="27">
        <f>19190381</f>
        <v>19190381</v>
      </c>
      <c r="Z9" s="27">
        <f>19670141</f>
        <v>19670141</v>
      </c>
      <c r="AA9" s="27">
        <f>20161895</f>
        <v>20161895</v>
      </c>
    </row>
    <row r="10" spans="1:27" outlineLevel="3">
      <c r="C10" s="21" t="s">
        <v>196</v>
      </c>
      <c r="D10" s="38" t="s">
        <v>332</v>
      </c>
      <c r="E10" s="89" t="s">
        <v>77</v>
      </c>
      <c r="F10" s="51">
        <f>0</f>
        <v>0</v>
      </c>
      <c r="G10" s="51">
        <f>3512712.8</f>
        <v>3512712.8</v>
      </c>
      <c r="H10" s="51">
        <f>4246448.46</f>
        <v>4246448.46</v>
      </c>
      <c r="I10" s="51">
        <f>4195365.49</f>
        <v>4195365.49</v>
      </c>
      <c r="J10" s="51">
        <f>5003296.49</f>
        <v>5003296.49</v>
      </c>
      <c r="K10" s="24">
        <f>5546352.1</f>
        <v>5546352.0999999996</v>
      </c>
      <c r="L10" s="24">
        <f>6157915.52</f>
        <v>6157915.5199999996</v>
      </c>
      <c r="M10" s="25">
        <f>6238427.66</f>
        <v>6238427.6600000001</v>
      </c>
      <c r="N10" s="26">
        <f>6390911.14</f>
        <v>6390911.1399999997</v>
      </c>
      <c r="O10" s="27">
        <f>6614593</f>
        <v>6614593</v>
      </c>
      <c r="P10" s="27">
        <f>6819645</f>
        <v>6819645</v>
      </c>
      <c r="Q10" s="27">
        <f>7010595</f>
        <v>7010595</v>
      </c>
      <c r="R10" s="27">
        <f>7206892</f>
        <v>7206892</v>
      </c>
      <c r="S10" s="27">
        <f>7387064</f>
        <v>7387064</v>
      </c>
      <c r="T10" s="27">
        <f>7571741</f>
        <v>7571741</v>
      </c>
      <c r="U10" s="27">
        <f>7761035</f>
        <v>7761035</v>
      </c>
      <c r="V10" s="27">
        <f>7955061</f>
        <v>7955061</v>
      </c>
      <c r="W10" s="27">
        <f>8153938</f>
        <v>8153938</v>
      </c>
      <c r="X10" s="27">
        <f>8357786</f>
        <v>8357786</v>
      </c>
      <c r="Y10" s="27">
        <f>8566731</f>
        <v>8566731</v>
      </c>
      <c r="Z10" s="27">
        <f>8780899</f>
        <v>8780899</v>
      </c>
      <c r="AA10" s="27">
        <f>9000421</f>
        <v>9000421</v>
      </c>
    </row>
    <row r="11" spans="1:27" outlineLevel="1">
      <c r="A11" s="18" t="s">
        <v>25</v>
      </c>
      <c r="C11" s="21" t="s">
        <v>47</v>
      </c>
      <c r="D11" s="38" t="s">
        <v>286</v>
      </c>
      <c r="E11" s="87" t="s">
        <v>23</v>
      </c>
      <c r="F11" s="51">
        <f>4762162.54</f>
        <v>4762162.54</v>
      </c>
      <c r="G11" s="51">
        <f>4190064.71</f>
        <v>4190064.71</v>
      </c>
      <c r="H11" s="51">
        <f>6973746.16</f>
        <v>6973746.1600000001</v>
      </c>
      <c r="I11" s="51">
        <f>5956948.02</f>
        <v>5956948.0199999996</v>
      </c>
      <c r="J11" s="51">
        <f>8964706.34</f>
        <v>8964706.3399999999</v>
      </c>
      <c r="K11" s="24">
        <f>17420426.35</f>
        <v>17420426.350000001</v>
      </c>
      <c r="L11" s="24">
        <f>18203825.05</f>
        <v>18203825.050000001</v>
      </c>
      <c r="M11" s="25">
        <f>13634787.23</f>
        <v>13634787.23</v>
      </c>
      <c r="N11" s="26">
        <f>20280463.87</f>
        <v>20280463.870000001</v>
      </c>
      <c r="O11" s="27">
        <f>11437500</f>
        <v>11437500</v>
      </c>
      <c r="P11" s="27">
        <f>11755000</f>
        <v>11755000</v>
      </c>
      <c r="Q11" s="27">
        <f>5576630.6</f>
        <v>5576630.5999999996</v>
      </c>
      <c r="R11" s="27">
        <f>100000</f>
        <v>100000</v>
      </c>
      <c r="S11" s="27">
        <f>780000</f>
        <v>780000</v>
      </c>
      <c r="T11" s="27">
        <f t="shared" ref="T11:AA12" si="2">100000</f>
        <v>100000</v>
      </c>
      <c r="U11" s="27">
        <f t="shared" si="2"/>
        <v>100000</v>
      </c>
      <c r="V11" s="27">
        <f t="shared" si="2"/>
        <v>100000</v>
      </c>
      <c r="W11" s="27">
        <f t="shared" si="2"/>
        <v>100000</v>
      </c>
      <c r="X11" s="27">
        <f t="shared" si="2"/>
        <v>100000</v>
      </c>
      <c r="Y11" s="27">
        <f t="shared" si="2"/>
        <v>100000</v>
      </c>
      <c r="Z11" s="27">
        <f t="shared" si="2"/>
        <v>100000</v>
      </c>
      <c r="AA11" s="27">
        <f t="shared" si="2"/>
        <v>100000</v>
      </c>
    </row>
    <row r="12" spans="1:27" outlineLevel="2">
      <c r="B12" s="18" t="s">
        <v>25</v>
      </c>
      <c r="C12" s="21" t="s">
        <v>32</v>
      </c>
      <c r="D12" s="38" t="s">
        <v>26</v>
      </c>
      <c r="E12" s="57" t="s">
        <v>24</v>
      </c>
      <c r="F12" s="51">
        <f>1208363.4</f>
        <v>1208363.3999999999</v>
      </c>
      <c r="G12" s="51">
        <f>767464.09</f>
        <v>767464.09</v>
      </c>
      <c r="H12" s="51">
        <f>975615.88</f>
        <v>975615.88</v>
      </c>
      <c r="I12" s="51">
        <f>1638683.43</f>
        <v>1638683.43</v>
      </c>
      <c r="J12" s="51">
        <f>3890100.16</f>
        <v>3890100.16</v>
      </c>
      <c r="K12" s="24">
        <f>7852445.09</f>
        <v>7852445.0899999999</v>
      </c>
      <c r="L12" s="24">
        <f>3713220.2</f>
        <v>3713220.2</v>
      </c>
      <c r="M12" s="25">
        <f>1393712.43</f>
        <v>1393712.43</v>
      </c>
      <c r="N12" s="26">
        <f>2491110.6</f>
        <v>2491110.6</v>
      </c>
      <c r="O12" s="27">
        <f>500000</f>
        <v>500000</v>
      </c>
      <c r="P12" s="27">
        <f>100000</f>
        <v>100000</v>
      </c>
      <c r="Q12" s="27">
        <f>100000</f>
        <v>100000</v>
      </c>
      <c r="R12" s="27">
        <f>100000</f>
        <v>100000</v>
      </c>
      <c r="S12" s="27">
        <f>100000</f>
        <v>100000</v>
      </c>
      <c r="T12" s="27">
        <f t="shared" si="2"/>
        <v>100000</v>
      </c>
      <c r="U12" s="27">
        <f t="shared" si="2"/>
        <v>100000</v>
      </c>
      <c r="V12" s="27">
        <f t="shared" si="2"/>
        <v>100000</v>
      </c>
      <c r="W12" s="27">
        <f t="shared" si="2"/>
        <v>100000</v>
      </c>
      <c r="X12" s="27">
        <f t="shared" si="2"/>
        <v>100000</v>
      </c>
      <c r="Y12" s="27">
        <f t="shared" si="2"/>
        <v>100000</v>
      </c>
      <c r="Z12" s="27">
        <f t="shared" si="2"/>
        <v>100000</v>
      </c>
      <c r="AA12" s="27">
        <f t="shared" si="2"/>
        <v>100000</v>
      </c>
    </row>
    <row r="13" spans="1:27" outlineLevel="2">
      <c r="C13" s="21" t="s">
        <v>33</v>
      </c>
      <c r="D13" s="38"/>
      <c r="E13" s="57" t="s">
        <v>80</v>
      </c>
      <c r="F13" s="51">
        <f>0</f>
        <v>0</v>
      </c>
      <c r="G13" s="51">
        <f>3395966.82</f>
        <v>3395966.82</v>
      </c>
      <c r="H13" s="51">
        <f>5998130.28</f>
        <v>5998130.2800000003</v>
      </c>
      <c r="I13" s="51">
        <f>1041130.26</f>
        <v>1041130.26</v>
      </c>
      <c r="J13" s="51">
        <f>5074606.18</f>
        <v>5074606.18</v>
      </c>
      <c r="K13" s="24">
        <f>9559339.23</f>
        <v>9559339.2300000004</v>
      </c>
      <c r="L13" s="24">
        <f>14490604.85</f>
        <v>14490604.85</v>
      </c>
      <c r="M13" s="25">
        <f>12231110.02</f>
        <v>12231110.02</v>
      </c>
      <c r="N13" s="26">
        <f>17774353.27</f>
        <v>17774353.27</v>
      </c>
      <c r="O13" s="27">
        <f>10937500</f>
        <v>10937500</v>
      </c>
      <c r="P13" s="27">
        <f>11655000</f>
        <v>11655000</v>
      </c>
      <c r="Q13" s="27">
        <f>5476630.6</f>
        <v>5476630.5999999996</v>
      </c>
      <c r="R13" s="27">
        <f>0</f>
        <v>0</v>
      </c>
      <c r="S13" s="27">
        <f>680000</f>
        <v>680000</v>
      </c>
      <c r="T13" s="27">
        <f>0</f>
        <v>0</v>
      </c>
      <c r="U13" s="27">
        <f>0</f>
        <v>0</v>
      </c>
      <c r="V13" s="27">
        <f>0</f>
        <v>0</v>
      </c>
      <c r="W13" s="27">
        <f>0</f>
        <v>0</v>
      </c>
      <c r="X13" s="27">
        <f>0</f>
        <v>0</v>
      </c>
      <c r="Y13" s="27">
        <f>0</f>
        <v>0</v>
      </c>
      <c r="Z13" s="27">
        <f>0</f>
        <v>0</v>
      </c>
      <c r="AA13" s="27">
        <f>0</f>
        <v>0</v>
      </c>
    </row>
    <row r="14" spans="1:27">
      <c r="A14" s="18" t="s">
        <v>25</v>
      </c>
      <c r="B14" s="18" t="s">
        <v>25</v>
      </c>
      <c r="C14" s="14">
        <v>2</v>
      </c>
      <c r="D14" s="38"/>
      <c r="E14" s="59" t="s">
        <v>17</v>
      </c>
      <c r="F14" s="52">
        <f>45498719.28</f>
        <v>45498719.280000001</v>
      </c>
      <c r="G14" s="52">
        <f>47191225.35</f>
        <v>47191225.350000001</v>
      </c>
      <c r="H14" s="52">
        <f>44892654.65</f>
        <v>44892654.649999999</v>
      </c>
      <c r="I14" s="52">
        <f>56429581.9</f>
        <v>56429581.899999999</v>
      </c>
      <c r="J14" s="52">
        <f>59173174.56</f>
        <v>59173174.560000002</v>
      </c>
      <c r="K14" s="22">
        <f>63734359.87</f>
        <v>63734359.869999997</v>
      </c>
      <c r="L14" s="22">
        <f>76746741.49</f>
        <v>76746741.489999995</v>
      </c>
      <c r="M14" s="23">
        <f>67401666.46</f>
        <v>67401666.459999993</v>
      </c>
      <c r="N14" s="15">
        <f>88881042.43</f>
        <v>88881042.430000007</v>
      </c>
      <c r="O14" s="16">
        <f>71180981.4</f>
        <v>71180981.400000006</v>
      </c>
      <c r="P14" s="16">
        <f>69322726.06</f>
        <v>69322726.060000002</v>
      </c>
      <c r="Q14" s="16">
        <f>65219092.4</f>
        <v>65219092.399999999</v>
      </c>
      <c r="R14" s="16">
        <f>61516108.89</f>
        <v>61516108.890000001</v>
      </c>
      <c r="S14" s="16">
        <f>64090012.4</f>
        <v>64090012.399999999</v>
      </c>
      <c r="T14" s="16">
        <f>64992903.4</f>
        <v>64992903.399999999</v>
      </c>
      <c r="U14" s="16">
        <f>66615368.4</f>
        <v>66615368.399999999</v>
      </c>
      <c r="V14" s="16">
        <f>68278394.4</f>
        <v>68278394.400000006</v>
      </c>
      <c r="W14" s="16">
        <f>69982995.4</f>
        <v>69982995.400000006</v>
      </c>
      <c r="X14" s="16">
        <f>71730211.4</f>
        <v>71730211.400000006</v>
      </c>
      <c r="Y14" s="16">
        <f>73452511</f>
        <v>73452511</v>
      </c>
      <c r="Z14" s="16">
        <f>75288181</f>
        <v>75288181</v>
      </c>
      <c r="AA14" s="16">
        <f>77169742</f>
        <v>77169742</v>
      </c>
    </row>
    <row r="15" spans="1:27" outlineLevel="1">
      <c r="A15" s="18" t="s">
        <v>25</v>
      </c>
      <c r="B15" s="18" t="s">
        <v>25</v>
      </c>
      <c r="C15" s="21" t="s">
        <v>48</v>
      </c>
      <c r="D15" s="38" t="s">
        <v>287</v>
      </c>
      <c r="E15" s="87" t="s">
        <v>81</v>
      </c>
      <c r="F15" s="51">
        <f>36163333.51</f>
        <v>36163333.509999998</v>
      </c>
      <c r="G15" s="51">
        <f>38660776.59</f>
        <v>38660776.590000004</v>
      </c>
      <c r="H15" s="51">
        <f>41588017.47</f>
        <v>41588017.469999999</v>
      </c>
      <c r="I15" s="51">
        <f>43291493.43</f>
        <v>43291493.43</v>
      </c>
      <c r="J15" s="51">
        <f>48839212.78</f>
        <v>48839212.780000001</v>
      </c>
      <c r="K15" s="24">
        <f>44729054.34</f>
        <v>44729054.340000004</v>
      </c>
      <c r="L15" s="24">
        <f>56569220.44</f>
        <v>56569220.439999998</v>
      </c>
      <c r="M15" s="25">
        <f>51962659.03</f>
        <v>51962659.030000001</v>
      </c>
      <c r="N15" s="26">
        <f>59304513.49</f>
        <v>59304513.490000002</v>
      </c>
      <c r="O15" s="27">
        <f>55080981.4</f>
        <v>55080981.399999999</v>
      </c>
      <c r="P15" s="27">
        <f>57322726.06</f>
        <v>57322726.060000002</v>
      </c>
      <c r="Q15" s="27">
        <f>59219092.4</f>
        <v>59219092.399999999</v>
      </c>
      <c r="R15" s="27">
        <f>60718852.4</f>
        <v>60718852.399999999</v>
      </c>
      <c r="S15" s="27">
        <f>62249381.4</f>
        <v>62249381.399999999</v>
      </c>
      <c r="T15" s="27">
        <f>63805980.4</f>
        <v>63805980.399999999</v>
      </c>
      <c r="U15" s="27">
        <f>65365591.4</f>
        <v>65365591.399999999</v>
      </c>
      <c r="V15" s="27">
        <f>67121911.08</f>
        <v>67121911.079999998</v>
      </c>
      <c r="W15" s="27">
        <f>68777358.97</f>
        <v>68777358.969999999</v>
      </c>
      <c r="X15" s="27">
        <f>70212143.4</f>
        <v>70212143.400000006</v>
      </c>
      <c r="Y15" s="27">
        <f>71801549</f>
        <v>71801549</v>
      </c>
      <c r="Z15" s="27">
        <f>73490385</f>
        <v>73490385</v>
      </c>
      <c r="AA15" s="27">
        <f>75183991</f>
        <v>75183991</v>
      </c>
    </row>
    <row r="16" spans="1:27" outlineLevel="2">
      <c r="C16" s="21" t="s">
        <v>34</v>
      </c>
      <c r="D16" s="38" t="s">
        <v>291</v>
      </c>
      <c r="E16" s="57" t="s">
        <v>243</v>
      </c>
      <c r="F16" s="51">
        <f>0</f>
        <v>0</v>
      </c>
      <c r="G16" s="51">
        <f>13965514.5</f>
        <v>13965514.5</v>
      </c>
      <c r="H16" s="51">
        <f>14359004.22</f>
        <v>14359004.220000001</v>
      </c>
      <c r="I16" s="51">
        <f>15066438.28</f>
        <v>15066438.279999999</v>
      </c>
      <c r="J16" s="51">
        <f>15426260.71</f>
        <v>15426260.710000001</v>
      </c>
      <c r="K16" s="24">
        <f>17941187.46</f>
        <v>17941187.460000001</v>
      </c>
      <c r="L16" s="24">
        <f>23585221.1</f>
        <v>23585221.100000001</v>
      </c>
      <c r="M16" s="25">
        <f>22131852.57</f>
        <v>22131852.57</v>
      </c>
      <c r="N16" s="26">
        <f>25485429.06</f>
        <v>25485429.059999999</v>
      </c>
      <c r="O16" s="27">
        <f>26236539</f>
        <v>26236539</v>
      </c>
      <c r="P16" s="27">
        <f>27371269</f>
        <v>27371269</v>
      </c>
      <c r="Q16" s="27">
        <f>28459277</f>
        <v>28459277</v>
      </c>
      <c r="R16" s="27">
        <f>29220563</f>
        <v>29220563</v>
      </c>
      <c r="S16" s="27">
        <f>29980298</f>
        <v>29980298</v>
      </c>
      <c r="T16" s="27">
        <f>30737301</f>
        <v>30737301</v>
      </c>
      <c r="U16" s="27">
        <f>31474996</f>
        <v>31474996</v>
      </c>
      <c r="V16" s="27">
        <f>32222527</f>
        <v>32222527</v>
      </c>
      <c r="W16" s="27">
        <f>32971701</f>
        <v>32971701</v>
      </c>
      <c r="X16" s="27">
        <f>33730050</f>
        <v>33730050</v>
      </c>
      <c r="Y16" s="27">
        <f>34480544</f>
        <v>34480544</v>
      </c>
      <c r="Z16" s="27">
        <f>35239116</f>
        <v>35239116</v>
      </c>
      <c r="AA16" s="27">
        <f>35979137</f>
        <v>35979137</v>
      </c>
    </row>
    <row r="17" spans="1:27" outlineLevel="2">
      <c r="A17" s="18" t="s">
        <v>25</v>
      </c>
      <c r="B17" s="18" t="s">
        <v>25</v>
      </c>
      <c r="C17" s="21" t="s">
        <v>35</v>
      </c>
      <c r="D17" s="38"/>
      <c r="E17" s="57" t="s">
        <v>82</v>
      </c>
      <c r="F17" s="51">
        <f>0</f>
        <v>0</v>
      </c>
      <c r="G17" s="51">
        <f>0</f>
        <v>0</v>
      </c>
      <c r="H17" s="51">
        <f>0</f>
        <v>0</v>
      </c>
      <c r="I17" s="51">
        <f>0</f>
        <v>0</v>
      </c>
      <c r="J17" s="51">
        <f>0</f>
        <v>0</v>
      </c>
      <c r="K17" s="24">
        <f>0</f>
        <v>0</v>
      </c>
      <c r="L17" s="24">
        <f>0</f>
        <v>0</v>
      </c>
      <c r="M17" s="25">
        <f>0</f>
        <v>0</v>
      </c>
      <c r="N17" s="26">
        <f>0</f>
        <v>0</v>
      </c>
      <c r="O17" s="27">
        <f>0</f>
        <v>0</v>
      </c>
      <c r="P17" s="27">
        <f>0</f>
        <v>0</v>
      </c>
      <c r="Q17" s="27">
        <f>0</f>
        <v>0</v>
      </c>
      <c r="R17" s="27">
        <f>0</f>
        <v>0</v>
      </c>
      <c r="S17" s="27">
        <f>0</f>
        <v>0</v>
      </c>
      <c r="T17" s="27">
        <f>0</f>
        <v>0</v>
      </c>
      <c r="U17" s="27">
        <f>0</f>
        <v>0</v>
      </c>
      <c r="V17" s="27">
        <f>0</f>
        <v>0</v>
      </c>
      <c r="W17" s="27">
        <f>166469.13</f>
        <v>166469.13</v>
      </c>
      <c r="X17" s="27">
        <f>0</f>
        <v>0</v>
      </c>
      <c r="Y17" s="27">
        <f>0</f>
        <v>0</v>
      </c>
      <c r="Z17" s="27">
        <f>0</f>
        <v>0</v>
      </c>
      <c r="AA17" s="27">
        <f>0</f>
        <v>0</v>
      </c>
    </row>
    <row r="18" spans="1:27" ht="23" outlineLevel="3">
      <c r="A18" s="18" t="s">
        <v>25</v>
      </c>
      <c r="B18" s="18" t="s">
        <v>25</v>
      </c>
      <c r="C18" s="21" t="s">
        <v>197</v>
      </c>
      <c r="D18" s="38"/>
      <c r="E18" s="89" t="s">
        <v>244</v>
      </c>
      <c r="F18" s="51">
        <f>0</f>
        <v>0</v>
      </c>
      <c r="G18" s="51">
        <f>0</f>
        <v>0</v>
      </c>
      <c r="H18" s="51">
        <f>0</f>
        <v>0</v>
      </c>
      <c r="I18" s="51">
        <f>0</f>
        <v>0</v>
      </c>
      <c r="J18" s="51">
        <f>0</f>
        <v>0</v>
      </c>
      <c r="K18" s="24">
        <f>0</f>
        <v>0</v>
      </c>
      <c r="L18" s="24">
        <f>0</f>
        <v>0</v>
      </c>
      <c r="M18" s="25">
        <f>0</f>
        <v>0</v>
      </c>
      <c r="N18" s="26">
        <f>0</f>
        <v>0</v>
      </c>
      <c r="O18" s="27">
        <f>0</f>
        <v>0</v>
      </c>
      <c r="P18" s="27">
        <f>0</f>
        <v>0</v>
      </c>
      <c r="Q18" s="27">
        <f>0</f>
        <v>0</v>
      </c>
      <c r="R18" s="27">
        <f>0</f>
        <v>0</v>
      </c>
      <c r="S18" s="27">
        <f>0</f>
        <v>0</v>
      </c>
      <c r="T18" s="27">
        <f>0</f>
        <v>0</v>
      </c>
      <c r="U18" s="27">
        <f>0</f>
        <v>0</v>
      </c>
      <c r="V18" s="27">
        <f>0</f>
        <v>0</v>
      </c>
      <c r="W18" s="27">
        <f>0</f>
        <v>0</v>
      </c>
      <c r="X18" s="27">
        <f>0</f>
        <v>0</v>
      </c>
      <c r="Y18" s="27">
        <f>0</f>
        <v>0</v>
      </c>
      <c r="Z18" s="27">
        <f>0</f>
        <v>0</v>
      </c>
      <c r="AA18" s="27">
        <f>0</f>
        <v>0</v>
      </c>
    </row>
    <row r="19" spans="1:27" outlineLevel="2">
      <c r="A19" s="18" t="s">
        <v>25</v>
      </c>
      <c r="B19" s="18" t="s">
        <v>25</v>
      </c>
      <c r="C19" s="21" t="s">
        <v>36</v>
      </c>
      <c r="D19" s="38" t="s">
        <v>288</v>
      </c>
      <c r="E19" s="57" t="s">
        <v>83</v>
      </c>
      <c r="F19" s="51">
        <f>107266.1</f>
        <v>107266.1</v>
      </c>
      <c r="G19" s="51">
        <f>130582.64</f>
        <v>130582.64</v>
      </c>
      <c r="H19" s="51">
        <f>133028.79</f>
        <v>133028.79</v>
      </c>
      <c r="I19" s="51">
        <f>88997.74</f>
        <v>88997.74</v>
      </c>
      <c r="J19" s="51">
        <f>214316.7</f>
        <v>214316.7</v>
      </c>
      <c r="K19" s="24">
        <f>212535.31</f>
        <v>212535.31</v>
      </c>
      <c r="L19" s="24">
        <f>250448.18</f>
        <v>250448.18</v>
      </c>
      <c r="M19" s="25">
        <f>188901.76</f>
        <v>188901.76000000001</v>
      </c>
      <c r="N19" s="26">
        <f>200000</f>
        <v>200000</v>
      </c>
      <c r="O19" s="27">
        <f>250000</f>
        <v>250000</v>
      </c>
      <c r="P19" s="27">
        <f>200000</f>
        <v>200000</v>
      </c>
      <c r="Q19" s="27">
        <f>150000</f>
        <v>150000</v>
      </c>
      <c r="R19" s="27">
        <f>120000</f>
        <v>120000</v>
      </c>
      <c r="S19" s="27">
        <f>100000</f>
        <v>100000</v>
      </c>
      <c r="T19" s="27">
        <f>80000</f>
        <v>80000</v>
      </c>
      <c r="U19" s="27">
        <f>60000</f>
        <v>60000</v>
      </c>
      <c r="V19" s="27">
        <f>40000</f>
        <v>40000</v>
      </c>
      <c r="W19" s="27">
        <f>30000</f>
        <v>30000</v>
      </c>
      <c r="X19" s="27">
        <f>20000</f>
        <v>20000</v>
      </c>
      <c r="Y19" s="27">
        <f>10000</f>
        <v>10000</v>
      </c>
      <c r="Z19" s="27">
        <f>10000</f>
        <v>10000</v>
      </c>
      <c r="AA19" s="27">
        <f>5000</f>
        <v>5000</v>
      </c>
    </row>
    <row r="20" spans="1:27" ht="34.5" outlineLevel="3">
      <c r="A20" s="18" t="s">
        <v>25</v>
      </c>
      <c r="B20" s="18" t="s">
        <v>25</v>
      </c>
      <c r="C20" s="21" t="s">
        <v>37</v>
      </c>
      <c r="D20" s="38"/>
      <c r="E20" s="89" t="s">
        <v>103</v>
      </c>
      <c r="F20" s="51">
        <f>0</f>
        <v>0</v>
      </c>
      <c r="G20" s="51">
        <f>0</f>
        <v>0</v>
      </c>
      <c r="H20" s="51">
        <f>0</f>
        <v>0</v>
      </c>
      <c r="I20" s="51">
        <f>0</f>
        <v>0</v>
      </c>
      <c r="J20" s="51">
        <f>0</f>
        <v>0</v>
      </c>
      <c r="K20" s="24">
        <f>0</f>
        <v>0</v>
      </c>
      <c r="L20" s="24">
        <f>0</f>
        <v>0</v>
      </c>
      <c r="M20" s="25">
        <f>0</f>
        <v>0</v>
      </c>
      <c r="N20" s="26">
        <f>0</f>
        <v>0</v>
      </c>
      <c r="O20" s="27">
        <f>0</f>
        <v>0</v>
      </c>
      <c r="P20" s="27">
        <f>0</f>
        <v>0</v>
      </c>
      <c r="Q20" s="27">
        <f>0</f>
        <v>0</v>
      </c>
      <c r="R20" s="27">
        <f>0</f>
        <v>0</v>
      </c>
      <c r="S20" s="27">
        <f>0</f>
        <v>0</v>
      </c>
      <c r="T20" s="27">
        <f>0</f>
        <v>0</v>
      </c>
      <c r="U20" s="27">
        <f>0</f>
        <v>0</v>
      </c>
      <c r="V20" s="27">
        <f>0</f>
        <v>0</v>
      </c>
      <c r="W20" s="27">
        <f>0</f>
        <v>0</v>
      </c>
      <c r="X20" s="27">
        <f>0</f>
        <v>0</v>
      </c>
      <c r="Y20" s="27">
        <f>0</f>
        <v>0</v>
      </c>
      <c r="Z20" s="27">
        <f>0</f>
        <v>0</v>
      </c>
      <c r="AA20" s="27">
        <f>0</f>
        <v>0</v>
      </c>
    </row>
    <row r="21" spans="1:27" ht="23" outlineLevel="3">
      <c r="A21" s="18" t="s">
        <v>25</v>
      </c>
      <c r="B21" s="18" t="s">
        <v>25</v>
      </c>
      <c r="C21" s="21" t="s">
        <v>198</v>
      </c>
      <c r="D21" s="38"/>
      <c r="E21" s="89" t="s">
        <v>245</v>
      </c>
      <c r="F21" s="51">
        <f>0</f>
        <v>0</v>
      </c>
      <c r="G21" s="51">
        <f>0</f>
        <v>0</v>
      </c>
      <c r="H21" s="51">
        <f>0</f>
        <v>0</v>
      </c>
      <c r="I21" s="51">
        <f>0</f>
        <v>0</v>
      </c>
      <c r="J21" s="51">
        <f>0</f>
        <v>0</v>
      </c>
      <c r="K21" s="24">
        <f>0</f>
        <v>0</v>
      </c>
      <c r="L21" s="24">
        <f>0</f>
        <v>0</v>
      </c>
      <c r="M21" s="25">
        <f>0</f>
        <v>0</v>
      </c>
      <c r="N21" s="26">
        <f>0</f>
        <v>0</v>
      </c>
      <c r="O21" s="27">
        <f>0</f>
        <v>0</v>
      </c>
      <c r="P21" s="27">
        <f>0</f>
        <v>0</v>
      </c>
      <c r="Q21" s="27">
        <f>0</f>
        <v>0</v>
      </c>
      <c r="R21" s="27">
        <f>0</f>
        <v>0</v>
      </c>
      <c r="S21" s="27">
        <f>0</f>
        <v>0</v>
      </c>
      <c r="T21" s="27">
        <f>0</f>
        <v>0</v>
      </c>
      <c r="U21" s="27">
        <f>0</f>
        <v>0</v>
      </c>
      <c r="V21" s="27">
        <f>0</f>
        <v>0</v>
      </c>
      <c r="W21" s="27">
        <f>0</f>
        <v>0</v>
      </c>
      <c r="X21" s="27">
        <f>0</f>
        <v>0</v>
      </c>
      <c r="Y21" s="27">
        <f>0</f>
        <v>0</v>
      </c>
      <c r="Z21" s="27">
        <f>0</f>
        <v>0</v>
      </c>
      <c r="AA21" s="27">
        <f>0</f>
        <v>0</v>
      </c>
    </row>
    <row r="22" spans="1:27" ht="23" outlineLevel="3">
      <c r="A22" s="18" t="s">
        <v>25</v>
      </c>
      <c r="B22" s="18" t="s">
        <v>25</v>
      </c>
      <c r="C22" s="21" t="s">
        <v>320</v>
      </c>
      <c r="D22" s="38"/>
      <c r="E22" s="89" t="s">
        <v>333</v>
      </c>
      <c r="F22" s="51">
        <f>0</f>
        <v>0</v>
      </c>
      <c r="G22" s="51">
        <f>0</f>
        <v>0</v>
      </c>
      <c r="H22" s="51">
        <f>0</f>
        <v>0</v>
      </c>
      <c r="I22" s="51">
        <f>0</f>
        <v>0</v>
      </c>
      <c r="J22" s="51">
        <f>0</f>
        <v>0</v>
      </c>
      <c r="K22" s="24">
        <f>0</f>
        <v>0</v>
      </c>
      <c r="L22" s="24">
        <f>0</f>
        <v>0</v>
      </c>
      <c r="M22" s="25">
        <f>0</f>
        <v>0</v>
      </c>
      <c r="N22" s="26">
        <f>0</f>
        <v>0</v>
      </c>
      <c r="O22" s="27">
        <f>0</f>
        <v>0</v>
      </c>
      <c r="P22" s="27">
        <f>0</f>
        <v>0</v>
      </c>
      <c r="Q22" s="27">
        <f>0</f>
        <v>0</v>
      </c>
      <c r="R22" s="27">
        <f>0</f>
        <v>0</v>
      </c>
      <c r="S22" s="27">
        <f>0</f>
        <v>0</v>
      </c>
      <c r="T22" s="27">
        <f>0</f>
        <v>0</v>
      </c>
      <c r="U22" s="27">
        <f>0</f>
        <v>0</v>
      </c>
      <c r="V22" s="27">
        <f>0</f>
        <v>0</v>
      </c>
      <c r="W22" s="27">
        <f>0</f>
        <v>0</v>
      </c>
      <c r="X22" s="27">
        <f>0</f>
        <v>0</v>
      </c>
      <c r="Y22" s="27">
        <f>0</f>
        <v>0</v>
      </c>
      <c r="Z22" s="27">
        <f>0</f>
        <v>0</v>
      </c>
      <c r="AA22" s="27">
        <f>0</f>
        <v>0</v>
      </c>
    </row>
    <row r="23" spans="1:27" outlineLevel="1">
      <c r="A23" s="18" t="s">
        <v>25</v>
      </c>
      <c r="C23" s="21" t="s">
        <v>49</v>
      </c>
      <c r="D23" s="38" t="s">
        <v>289</v>
      </c>
      <c r="E23" s="87" t="s">
        <v>246</v>
      </c>
      <c r="F23" s="51">
        <f>9335385.77</f>
        <v>9335385.7699999996</v>
      </c>
      <c r="G23" s="51">
        <f>8530448.76</f>
        <v>8530448.7599999998</v>
      </c>
      <c r="H23" s="51">
        <f>3304637.18</f>
        <v>3304637.18</v>
      </c>
      <c r="I23" s="51">
        <f>13138088.47</f>
        <v>13138088.470000001</v>
      </c>
      <c r="J23" s="51">
        <f>10333961.78</f>
        <v>10333961.779999999</v>
      </c>
      <c r="K23" s="24">
        <f>19005305.53</f>
        <v>19005305.530000001</v>
      </c>
      <c r="L23" s="24">
        <f>20177521.05</f>
        <v>20177521.050000001</v>
      </c>
      <c r="M23" s="25">
        <f>15439007.43</f>
        <v>15439007.43</v>
      </c>
      <c r="N23" s="26">
        <f>29576528.94</f>
        <v>29576528.940000001</v>
      </c>
      <c r="O23" s="27">
        <f>16100000</f>
        <v>16100000</v>
      </c>
      <c r="P23" s="27">
        <f>12000000</f>
        <v>12000000</v>
      </c>
      <c r="Q23" s="27">
        <f>6000000</f>
        <v>6000000</v>
      </c>
      <c r="R23" s="27">
        <f>797256.49</f>
        <v>797256.49</v>
      </c>
      <c r="S23" s="27">
        <f>1840631</f>
        <v>1840631</v>
      </c>
      <c r="T23" s="27">
        <f>1186923</f>
        <v>1186923</v>
      </c>
      <c r="U23" s="27">
        <f>1249777</f>
        <v>1249777</v>
      </c>
      <c r="V23" s="27">
        <f>1156483.32</f>
        <v>1156483.32</v>
      </c>
      <c r="W23" s="27">
        <f>1205636.43</f>
        <v>1205636.43</v>
      </c>
      <c r="X23" s="27">
        <f>1518068</f>
        <v>1518068</v>
      </c>
      <c r="Y23" s="27">
        <f>1650962</f>
        <v>1650962</v>
      </c>
      <c r="Z23" s="27">
        <f>1797796</f>
        <v>1797796</v>
      </c>
      <c r="AA23" s="27">
        <f>1985751</f>
        <v>1985751</v>
      </c>
    </row>
    <row r="24" spans="1:27" outlineLevel="2">
      <c r="C24" s="21" t="s">
        <v>199</v>
      </c>
      <c r="D24" s="38"/>
      <c r="E24" s="57" t="s">
        <v>247</v>
      </c>
      <c r="F24" s="51">
        <f>0</f>
        <v>0</v>
      </c>
      <c r="G24" s="51">
        <f>8530448.76</f>
        <v>8530448.7599999998</v>
      </c>
      <c r="H24" s="51">
        <f>3304637.18</f>
        <v>3304637.18</v>
      </c>
      <c r="I24" s="51">
        <f>5797672.8</f>
        <v>5797672.7999999998</v>
      </c>
      <c r="J24" s="51">
        <f>10333961.78</f>
        <v>10333961.779999999</v>
      </c>
      <c r="K24" s="24">
        <f>19005305.53</f>
        <v>19005305.530000001</v>
      </c>
      <c r="L24" s="24">
        <f>20177521.05</f>
        <v>20177521.050000001</v>
      </c>
      <c r="M24" s="25">
        <f>15289007.43</f>
        <v>15289007.43</v>
      </c>
      <c r="N24" s="26">
        <f>28221528.94</f>
        <v>28221528.940000001</v>
      </c>
      <c r="O24" s="27">
        <f>16100000</f>
        <v>16100000</v>
      </c>
      <c r="P24" s="27">
        <f>12000000</f>
        <v>12000000</v>
      </c>
      <c r="Q24" s="27">
        <f>523369.4</f>
        <v>523369.4</v>
      </c>
      <c r="R24" s="27">
        <f>797256.49</f>
        <v>797256.49</v>
      </c>
      <c r="S24" s="27">
        <f>1160631</f>
        <v>1160631</v>
      </c>
      <c r="T24" s="27">
        <f>1186923</f>
        <v>1186923</v>
      </c>
      <c r="U24" s="27">
        <f>1249777</f>
        <v>1249777</v>
      </c>
      <c r="V24" s="27">
        <f>1156483.32</f>
        <v>1156483.32</v>
      </c>
      <c r="W24" s="27">
        <f>1205636.43</f>
        <v>1205636.43</v>
      </c>
      <c r="X24" s="27">
        <f>1518068</f>
        <v>1518068</v>
      </c>
      <c r="Y24" s="27">
        <f>1650962</f>
        <v>1650962</v>
      </c>
      <c r="Z24" s="27">
        <f>1797796</f>
        <v>1797796</v>
      </c>
      <c r="AA24" s="27">
        <f>1985751</f>
        <v>1985751</v>
      </c>
    </row>
    <row r="25" spans="1:27" outlineLevel="2">
      <c r="C25" s="21" t="s">
        <v>200</v>
      </c>
      <c r="D25" s="38"/>
      <c r="E25" s="89" t="s">
        <v>248</v>
      </c>
      <c r="F25" s="51">
        <f>0</f>
        <v>0</v>
      </c>
      <c r="G25" s="51">
        <f>185001.86</f>
        <v>185001.86</v>
      </c>
      <c r="H25" s="51">
        <f>69993.49</f>
        <v>69993.490000000005</v>
      </c>
      <c r="I25" s="51">
        <f>155708.98</f>
        <v>155708.98000000001</v>
      </c>
      <c r="J25" s="51">
        <f>723793</f>
        <v>723793</v>
      </c>
      <c r="K25" s="24">
        <f>812011.62</f>
        <v>812011.62</v>
      </c>
      <c r="L25" s="24">
        <f>1210169.51</f>
        <v>1210169.51</v>
      </c>
      <c r="M25" s="25">
        <f>599901.37</f>
        <v>599901.37</v>
      </c>
      <c r="N25" s="26">
        <f>2829575.54</f>
        <v>2829575.54</v>
      </c>
      <c r="O25" s="27">
        <f>0</f>
        <v>0</v>
      </c>
      <c r="P25" s="27">
        <f>0</f>
        <v>0</v>
      </c>
      <c r="Q25" s="27">
        <f>0</f>
        <v>0</v>
      </c>
      <c r="R25" s="27">
        <f>0</f>
        <v>0</v>
      </c>
      <c r="S25" s="27">
        <f>0</f>
        <v>0</v>
      </c>
      <c r="T25" s="27">
        <f>0</f>
        <v>0</v>
      </c>
      <c r="U25" s="27">
        <f>0</f>
        <v>0</v>
      </c>
      <c r="V25" s="27">
        <f>0</f>
        <v>0</v>
      </c>
      <c r="W25" s="27">
        <f>0</f>
        <v>0</v>
      </c>
      <c r="X25" s="27">
        <f>0</f>
        <v>0</v>
      </c>
      <c r="Y25" s="27">
        <f>0</f>
        <v>0</v>
      </c>
      <c r="Z25" s="27">
        <f>0</f>
        <v>0</v>
      </c>
      <c r="AA25" s="27">
        <f>0</f>
        <v>0</v>
      </c>
    </row>
    <row r="26" spans="1:27">
      <c r="A26" s="18" t="s">
        <v>25</v>
      </c>
      <c r="C26" s="14">
        <v>3</v>
      </c>
      <c r="D26" s="38"/>
      <c r="E26" s="59" t="s">
        <v>18</v>
      </c>
      <c r="F26" s="52">
        <f>79672.69</f>
        <v>79672.69</v>
      </c>
      <c r="G26" s="52">
        <f>-3321407.93</f>
        <v>-3321407.93</v>
      </c>
      <c r="H26" s="52">
        <f>7060377.69</f>
        <v>7060377.6900000004</v>
      </c>
      <c r="I26" s="52">
        <f>-2423785.96</f>
        <v>-2423785.96</v>
      </c>
      <c r="J26" s="52">
        <f>3730076.37</f>
        <v>3730076.37</v>
      </c>
      <c r="K26" s="22">
        <f>817850.48</f>
        <v>817850.48</v>
      </c>
      <c r="L26" s="22">
        <f>-6147989.61</f>
        <v>-6147989.6100000003</v>
      </c>
      <c r="M26" s="23">
        <f>2314081.59</f>
        <v>2314081.59</v>
      </c>
      <c r="N26" s="15">
        <f>-8786533.18</f>
        <v>-8786533.1799999997</v>
      </c>
      <c r="O26" s="16">
        <f>803535.6</f>
        <v>803535.6</v>
      </c>
      <c r="P26" s="16">
        <f>803540.94</f>
        <v>803540.94</v>
      </c>
      <c r="Q26" s="16">
        <f>632593.2</f>
        <v>632593.19999999995</v>
      </c>
      <c r="R26" s="16">
        <f>541436.11</f>
        <v>541436.11</v>
      </c>
      <c r="S26" s="16">
        <f t="shared" ref="S26:X27" si="3">191817.6</f>
        <v>191817.60000000001</v>
      </c>
      <c r="T26" s="16">
        <f t="shared" si="3"/>
        <v>191817.60000000001</v>
      </c>
      <c r="U26" s="16">
        <f t="shared" si="3"/>
        <v>191817.60000000001</v>
      </c>
      <c r="V26" s="16">
        <f t="shared" si="3"/>
        <v>191817.60000000001</v>
      </c>
      <c r="W26" s="16">
        <f t="shared" si="3"/>
        <v>191817.60000000001</v>
      </c>
      <c r="X26" s="16">
        <f t="shared" si="3"/>
        <v>191817.60000000001</v>
      </c>
      <c r="Y26" s="16">
        <f t="shared" ref="Y26:AA27" si="4">74266</f>
        <v>74266</v>
      </c>
      <c r="Z26" s="16">
        <f t="shared" si="4"/>
        <v>74266</v>
      </c>
      <c r="AA26" s="16">
        <f t="shared" si="4"/>
        <v>74266</v>
      </c>
    </row>
    <row r="27" spans="1:27" ht="23" outlineLevel="1">
      <c r="C27" s="21" t="s">
        <v>227</v>
      </c>
      <c r="D27" s="38"/>
      <c r="E27" s="87" t="s">
        <v>249</v>
      </c>
      <c r="F27" s="51">
        <f>0</f>
        <v>0</v>
      </c>
      <c r="G27" s="51">
        <f>0</f>
        <v>0</v>
      </c>
      <c r="H27" s="51">
        <f>1387875.6</f>
        <v>1387875.6</v>
      </c>
      <c r="I27" s="51">
        <f>0</f>
        <v>0</v>
      </c>
      <c r="J27" s="51">
        <f>1205875.6</f>
        <v>1205875.6000000001</v>
      </c>
      <c r="K27" s="24">
        <f>817850.48</f>
        <v>817850.48</v>
      </c>
      <c r="L27" s="24">
        <f>0</f>
        <v>0</v>
      </c>
      <c r="M27" s="25">
        <f>0</f>
        <v>0</v>
      </c>
      <c r="N27" s="26">
        <f>0</f>
        <v>0</v>
      </c>
      <c r="O27" s="27">
        <f>803535.6</f>
        <v>803535.6</v>
      </c>
      <c r="P27" s="27">
        <f>803540.94</f>
        <v>803540.94</v>
      </c>
      <c r="Q27" s="27">
        <f>632593.2</f>
        <v>632593.19999999995</v>
      </c>
      <c r="R27" s="27">
        <f>541436.11</f>
        <v>541436.11</v>
      </c>
      <c r="S27" s="27">
        <f t="shared" si="3"/>
        <v>191817.60000000001</v>
      </c>
      <c r="T27" s="27">
        <f t="shared" si="3"/>
        <v>191817.60000000001</v>
      </c>
      <c r="U27" s="27">
        <f t="shared" si="3"/>
        <v>191817.60000000001</v>
      </c>
      <c r="V27" s="27">
        <f t="shared" si="3"/>
        <v>191817.60000000001</v>
      </c>
      <c r="W27" s="27">
        <f t="shared" si="3"/>
        <v>191817.60000000001</v>
      </c>
      <c r="X27" s="27">
        <f t="shared" si="3"/>
        <v>191817.60000000001</v>
      </c>
      <c r="Y27" s="27">
        <f t="shared" si="4"/>
        <v>74266</v>
      </c>
      <c r="Z27" s="27">
        <f t="shared" si="4"/>
        <v>74266</v>
      </c>
      <c r="AA27" s="27">
        <f t="shared" si="4"/>
        <v>74266</v>
      </c>
    </row>
    <row r="28" spans="1:27">
      <c r="A28" s="18" t="s">
        <v>25</v>
      </c>
      <c r="C28" s="14">
        <v>4</v>
      </c>
      <c r="D28" s="38"/>
      <c r="E28" s="59" t="s">
        <v>19</v>
      </c>
      <c r="F28" s="52">
        <f>0</f>
        <v>0</v>
      </c>
      <c r="G28" s="52">
        <f>6406778.06</f>
        <v>6406778.0599999996</v>
      </c>
      <c r="H28" s="52">
        <f>2076550.15</f>
        <v>2076550.15</v>
      </c>
      <c r="I28" s="52">
        <f>7731021.88</f>
        <v>7731021.8799999999</v>
      </c>
      <c r="J28" s="52">
        <f>4101360.32</f>
        <v>4101360.32</v>
      </c>
      <c r="K28" s="22">
        <f>7740582.09</f>
        <v>7740582.0899999999</v>
      </c>
      <c r="L28" s="22">
        <f>6913983.61</f>
        <v>6913983.6100000003</v>
      </c>
      <c r="M28" s="23">
        <f>6913983.61</f>
        <v>6913983.6100000003</v>
      </c>
      <c r="N28" s="15">
        <f>9472517.18</f>
        <v>9472517.1799999997</v>
      </c>
      <c r="O28" s="16">
        <f>0</f>
        <v>0</v>
      </c>
      <c r="P28" s="16">
        <f>0</f>
        <v>0</v>
      </c>
      <c r="Q28" s="16">
        <f>0</f>
        <v>0</v>
      </c>
      <c r="R28" s="16">
        <f>0</f>
        <v>0</v>
      </c>
      <c r="S28" s="16">
        <f>0</f>
        <v>0</v>
      </c>
      <c r="T28" s="16">
        <f>0</f>
        <v>0</v>
      </c>
      <c r="U28" s="16">
        <f>0</f>
        <v>0</v>
      </c>
      <c r="V28" s="16">
        <f>0</f>
        <v>0</v>
      </c>
      <c r="W28" s="16">
        <f>0</f>
        <v>0</v>
      </c>
      <c r="X28" s="16">
        <f>0</f>
        <v>0</v>
      </c>
      <c r="Y28" s="16">
        <f>0</f>
        <v>0</v>
      </c>
      <c r="Z28" s="16">
        <f>0</f>
        <v>0</v>
      </c>
      <c r="AA28" s="16">
        <f>0</f>
        <v>0</v>
      </c>
    </row>
    <row r="29" spans="1:27" outlineLevel="1">
      <c r="A29" s="18" t="s">
        <v>25</v>
      </c>
      <c r="C29" s="21" t="s">
        <v>50</v>
      </c>
      <c r="D29" s="38"/>
      <c r="E29" s="87" t="s">
        <v>86</v>
      </c>
      <c r="F29" s="51">
        <f>0</f>
        <v>0</v>
      </c>
      <c r="G29" s="51">
        <f>4107727.67</f>
        <v>4107727.67</v>
      </c>
      <c r="H29" s="51">
        <f>0</f>
        <v>0</v>
      </c>
      <c r="I29" s="51">
        <f>0</f>
        <v>0</v>
      </c>
      <c r="J29" s="51">
        <f>0</f>
        <v>0</v>
      </c>
      <c r="K29" s="24">
        <f>1114000</f>
        <v>1114000</v>
      </c>
      <c r="L29" s="24">
        <f>0</f>
        <v>0</v>
      </c>
      <c r="M29" s="25">
        <f>0</f>
        <v>0</v>
      </c>
      <c r="N29" s="26">
        <f>1175516</f>
        <v>1175516</v>
      </c>
      <c r="O29" s="27">
        <f>0</f>
        <v>0</v>
      </c>
      <c r="P29" s="27">
        <f>0</f>
        <v>0</v>
      </c>
      <c r="Q29" s="27">
        <f>0</f>
        <v>0</v>
      </c>
      <c r="R29" s="27">
        <f>0</f>
        <v>0</v>
      </c>
      <c r="S29" s="27">
        <f>0</f>
        <v>0</v>
      </c>
      <c r="T29" s="27">
        <f>0</f>
        <v>0</v>
      </c>
      <c r="U29" s="27">
        <f>0</f>
        <v>0</v>
      </c>
      <c r="V29" s="27">
        <f>0</f>
        <v>0</v>
      </c>
      <c r="W29" s="27">
        <f>0</f>
        <v>0</v>
      </c>
      <c r="X29" s="27">
        <f>0</f>
        <v>0</v>
      </c>
      <c r="Y29" s="27">
        <f>0</f>
        <v>0</v>
      </c>
      <c r="Z29" s="27">
        <f>0</f>
        <v>0</v>
      </c>
      <c r="AA29" s="27">
        <f>0</f>
        <v>0</v>
      </c>
    </row>
    <row r="30" spans="1:27" outlineLevel="2">
      <c r="A30" s="18" t="s">
        <v>25</v>
      </c>
      <c r="C30" s="21" t="s">
        <v>38</v>
      </c>
      <c r="D30" s="38"/>
      <c r="E30" s="57" t="s">
        <v>85</v>
      </c>
      <c r="F30" s="51">
        <f>0</f>
        <v>0</v>
      </c>
      <c r="G30" s="51">
        <f>1022357.54</f>
        <v>1022357.54</v>
      </c>
      <c r="H30" s="51">
        <f>0</f>
        <v>0</v>
      </c>
      <c r="I30" s="51">
        <f>0</f>
        <v>0</v>
      </c>
      <c r="J30" s="51">
        <f>0</f>
        <v>0</v>
      </c>
      <c r="K30" s="24">
        <f>0</f>
        <v>0</v>
      </c>
      <c r="L30" s="24">
        <f>0</f>
        <v>0</v>
      </c>
      <c r="M30" s="25">
        <f>0</f>
        <v>0</v>
      </c>
      <c r="N30" s="26">
        <f>1175516</f>
        <v>1175516</v>
      </c>
      <c r="O30" s="27">
        <f>0</f>
        <v>0</v>
      </c>
      <c r="P30" s="27">
        <f>0</f>
        <v>0</v>
      </c>
      <c r="Q30" s="27">
        <f>0</f>
        <v>0</v>
      </c>
      <c r="R30" s="27">
        <f>0</f>
        <v>0</v>
      </c>
      <c r="S30" s="27">
        <f>0</f>
        <v>0</v>
      </c>
      <c r="T30" s="27">
        <f>0</f>
        <v>0</v>
      </c>
      <c r="U30" s="27">
        <f>0</f>
        <v>0</v>
      </c>
      <c r="V30" s="27">
        <f>0</f>
        <v>0</v>
      </c>
      <c r="W30" s="27">
        <f>0</f>
        <v>0</v>
      </c>
      <c r="X30" s="27">
        <f>0</f>
        <v>0</v>
      </c>
      <c r="Y30" s="27">
        <f>0</f>
        <v>0</v>
      </c>
      <c r="Z30" s="27">
        <f>0</f>
        <v>0</v>
      </c>
      <c r="AA30" s="27">
        <f>0</f>
        <v>0</v>
      </c>
    </row>
    <row r="31" spans="1:27" outlineLevel="1">
      <c r="A31" s="18" t="s">
        <v>25</v>
      </c>
      <c r="C31" s="21" t="s">
        <v>51</v>
      </c>
      <c r="D31" s="38"/>
      <c r="E31" s="87" t="s">
        <v>84</v>
      </c>
      <c r="F31" s="51">
        <f>0</f>
        <v>0</v>
      </c>
      <c r="G31" s="51">
        <f>0</f>
        <v>0</v>
      </c>
      <c r="H31" s="51">
        <f>449854.95</f>
        <v>449854.95</v>
      </c>
      <c r="I31" s="51">
        <f>5463576.77</f>
        <v>5463576.7699999996</v>
      </c>
      <c r="J31" s="51">
        <f>216475.87</f>
        <v>216475.87</v>
      </c>
      <c r="K31" s="24">
        <f>2184571.64</f>
        <v>2184571.64</v>
      </c>
      <c r="L31" s="24">
        <f>2482712.16</f>
        <v>2482712.16</v>
      </c>
      <c r="M31" s="25">
        <f>2482712.16</f>
        <v>2482712.16</v>
      </c>
      <c r="N31" s="26">
        <f>5317707.73</f>
        <v>5317707.7300000004</v>
      </c>
      <c r="O31" s="27">
        <f>0</f>
        <v>0</v>
      </c>
      <c r="P31" s="27">
        <f>0</f>
        <v>0</v>
      </c>
      <c r="Q31" s="27">
        <f>0</f>
        <v>0</v>
      </c>
      <c r="R31" s="27">
        <f>0</f>
        <v>0</v>
      </c>
      <c r="S31" s="27">
        <f>0</f>
        <v>0</v>
      </c>
      <c r="T31" s="27">
        <f>0</f>
        <v>0</v>
      </c>
      <c r="U31" s="27">
        <f>0</f>
        <v>0</v>
      </c>
      <c r="V31" s="27">
        <f>0</f>
        <v>0</v>
      </c>
      <c r="W31" s="27">
        <f>0</f>
        <v>0</v>
      </c>
      <c r="X31" s="27">
        <f>0</f>
        <v>0</v>
      </c>
      <c r="Y31" s="27">
        <f>0</f>
        <v>0</v>
      </c>
      <c r="Z31" s="27">
        <f>0</f>
        <v>0</v>
      </c>
      <c r="AA31" s="27">
        <f>0</f>
        <v>0</v>
      </c>
    </row>
    <row r="32" spans="1:27" outlineLevel="2">
      <c r="A32" s="18" t="s">
        <v>25</v>
      </c>
      <c r="C32" s="21" t="s">
        <v>39</v>
      </c>
      <c r="D32" s="38"/>
      <c r="E32" s="57" t="s">
        <v>85</v>
      </c>
      <c r="F32" s="51">
        <f>0</f>
        <v>0</v>
      </c>
      <c r="G32" s="51">
        <f>0</f>
        <v>0</v>
      </c>
      <c r="H32" s="51">
        <f>0</f>
        <v>0</v>
      </c>
      <c r="I32" s="51">
        <f>156340.85</f>
        <v>156340.85</v>
      </c>
      <c r="J32" s="51">
        <f>0</f>
        <v>0</v>
      </c>
      <c r="K32" s="24">
        <f>0</f>
        <v>0</v>
      </c>
      <c r="L32" s="24">
        <f>1716718.16</f>
        <v>1716718.16</v>
      </c>
      <c r="M32" s="25">
        <f>1716718.16</f>
        <v>1716718.16</v>
      </c>
      <c r="N32" s="26">
        <f>5317707.73</f>
        <v>5317707.7300000004</v>
      </c>
      <c r="O32" s="27">
        <f>0</f>
        <v>0</v>
      </c>
      <c r="P32" s="27">
        <f>0</f>
        <v>0</v>
      </c>
      <c r="Q32" s="27">
        <f>0</f>
        <v>0</v>
      </c>
      <c r="R32" s="27">
        <f>0</f>
        <v>0</v>
      </c>
      <c r="S32" s="27">
        <f>0</f>
        <v>0</v>
      </c>
      <c r="T32" s="27">
        <f>0</f>
        <v>0</v>
      </c>
      <c r="U32" s="27">
        <f>0</f>
        <v>0</v>
      </c>
      <c r="V32" s="27">
        <f>0</f>
        <v>0</v>
      </c>
      <c r="W32" s="27">
        <f>0</f>
        <v>0</v>
      </c>
      <c r="X32" s="27">
        <f>0</f>
        <v>0</v>
      </c>
      <c r="Y32" s="27">
        <f>0</f>
        <v>0</v>
      </c>
      <c r="Z32" s="27">
        <f>0</f>
        <v>0</v>
      </c>
      <c r="AA32" s="27">
        <f>0</f>
        <v>0</v>
      </c>
    </row>
    <row r="33" spans="1:27" outlineLevel="1">
      <c r="A33" s="18" t="s">
        <v>25</v>
      </c>
      <c r="C33" s="21" t="s">
        <v>52</v>
      </c>
      <c r="D33" s="38"/>
      <c r="E33" s="87" t="s">
        <v>250</v>
      </c>
      <c r="F33" s="51">
        <f>0</f>
        <v>0</v>
      </c>
      <c r="G33" s="51">
        <f>2299050.39</f>
        <v>2299050.39</v>
      </c>
      <c r="H33" s="51">
        <f>1626695.2</f>
        <v>1626695.2</v>
      </c>
      <c r="I33" s="51">
        <f>2267445.11</f>
        <v>2267445.11</v>
      </c>
      <c r="J33" s="51">
        <f>3884884.45</f>
        <v>3884884.45</v>
      </c>
      <c r="K33" s="24">
        <f>4442010.45</f>
        <v>4442010.45</v>
      </c>
      <c r="L33" s="24">
        <f>4431271.45</f>
        <v>4431271.45</v>
      </c>
      <c r="M33" s="25">
        <f>4431271.45</f>
        <v>4431271.45</v>
      </c>
      <c r="N33" s="26">
        <f>2979293.45</f>
        <v>2979293.45</v>
      </c>
      <c r="O33" s="27">
        <f>0</f>
        <v>0</v>
      </c>
      <c r="P33" s="27">
        <f>0</f>
        <v>0</v>
      </c>
      <c r="Q33" s="27">
        <f>0</f>
        <v>0</v>
      </c>
      <c r="R33" s="27">
        <f>0</f>
        <v>0</v>
      </c>
      <c r="S33" s="27">
        <f>0</f>
        <v>0</v>
      </c>
      <c r="T33" s="27">
        <f>0</f>
        <v>0</v>
      </c>
      <c r="U33" s="27">
        <f>0</f>
        <v>0</v>
      </c>
      <c r="V33" s="27">
        <f>0</f>
        <v>0</v>
      </c>
      <c r="W33" s="27">
        <f>0</f>
        <v>0</v>
      </c>
      <c r="X33" s="27">
        <f>0</f>
        <v>0</v>
      </c>
      <c r="Y33" s="27">
        <f>0</f>
        <v>0</v>
      </c>
      <c r="Z33" s="27">
        <f>0</f>
        <v>0</v>
      </c>
      <c r="AA33" s="27">
        <f>0</f>
        <v>0</v>
      </c>
    </row>
    <row r="34" spans="1:27" outlineLevel="2">
      <c r="A34" s="18" t="s">
        <v>25</v>
      </c>
      <c r="C34" s="21" t="s">
        <v>40</v>
      </c>
      <c r="D34" s="38"/>
      <c r="E34" s="57" t="s">
        <v>85</v>
      </c>
      <c r="F34" s="51">
        <f>0</f>
        <v>0</v>
      </c>
      <c r="G34" s="51">
        <f>2299050.39</f>
        <v>2299050.39</v>
      </c>
      <c r="H34" s="51">
        <f>0</f>
        <v>0</v>
      </c>
      <c r="I34" s="51">
        <f>2267445.11</f>
        <v>2267445.11</v>
      </c>
      <c r="J34" s="51">
        <f>0</f>
        <v>0</v>
      </c>
      <c r="K34" s="24">
        <f>0</f>
        <v>0</v>
      </c>
      <c r="L34" s="24">
        <f>4431271.45</f>
        <v>4431271.45</v>
      </c>
      <c r="M34" s="25">
        <f>4431271.45</f>
        <v>4431271.45</v>
      </c>
      <c r="N34" s="26">
        <f>2293309.45</f>
        <v>2293309.4500000002</v>
      </c>
      <c r="O34" s="27">
        <f>0</f>
        <v>0</v>
      </c>
      <c r="P34" s="27">
        <f>0</f>
        <v>0</v>
      </c>
      <c r="Q34" s="27">
        <f>0</f>
        <v>0</v>
      </c>
      <c r="R34" s="27">
        <f>0</f>
        <v>0</v>
      </c>
      <c r="S34" s="27">
        <f>0</f>
        <v>0</v>
      </c>
      <c r="T34" s="27">
        <f>0</f>
        <v>0</v>
      </c>
      <c r="U34" s="27">
        <f>0</f>
        <v>0</v>
      </c>
      <c r="V34" s="27">
        <f>0</f>
        <v>0</v>
      </c>
      <c r="W34" s="27">
        <f>0</f>
        <v>0</v>
      </c>
      <c r="X34" s="27">
        <f>0</f>
        <v>0</v>
      </c>
      <c r="Y34" s="27">
        <f>0</f>
        <v>0</v>
      </c>
      <c r="Z34" s="27">
        <f>0</f>
        <v>0</v>
      </c>
      <c r="AA34" s="27">
        <f>0</f>
        <v>0</v>
      </c>
    </row>
    <row r="35" spans="1:27" outlineLevel="1">
      <c r="A35" s="18" t="s">
        <v>25</v>
      </c>
      <c r="C35" s="21" t="s">
        <v>53</v>
      </c>
      <c r="D35" s="38"/>
      <c r="E35" s="87" t="s">
        <v>251</v>
      </c>
      <c r="F35" s="51">
        <f>0</f>
        <v>0</v>
      </c>
      <c r="G35" s="51">
        <f>0</f>
        <v>0</v>
      </c>
      <c r="H35" s="51">
        <f>0</f>
        <v>0</v>
      </c>
      <c r="I35" s="51">
        <f>0</f>
        <v>0</v>
      </c>
      <c r="J35" s="51">
        <f>0</f>
        <v>0</v>
      </c>
      <c r="K35" s="24">
        <f>0</f>
        <v>0</v>
      </c>
      <c r="L35" s="24">
        <f>0</f>
        <v>0</v>
      </c>
      <c r="M35" s="25">
        <f>0</f>
        <v>0</v>
      </c>
      <c r="N35" s="26">
        <f>0</f>
        <v>0</v>
      </c>
      <c r="O35" s="27">
        <f>0</f>
        <v>0</v>
      </c>
      <c r="P35" s="27">
        <f>0</f>
        <v>0</v>
      </c>
      <c r="Q35" s="27">
        <f>0</f>
        <v>0</v>
      </c>
      <c r="R35" s="27">
        <f>0</f>
        <v>0</v>
      </c>
      <c r="S35" s="27">
        <f>0</f>
        <v>0</v>
      </c>
      <c r="T35" s="27">
        <f>0</f>
        <v>0</v>
      </c>
      <c r="U35" s="27">
        <f>0</f>
        <v>0</v>
      </c>
      <c r="V35" s="27">
        <f>0</f>
        <v>0</v>
      </c>
      <c r="W35" s="27">
        <f>0</f>
        <v>0</v>
      </c>
      <c r="X35" s="27">
        <f>0</f>
        <v>0</v>
      </c>
      <c r="Y35" s="27">
        <f>0</f>
        <v>0</v>
      </c>
      <c r="Z35" s="27">
        <f>0</f>
        <v>0</v>
      </c>
      <c r="AA35" s="27">
        <f>0</f>
        <v>0</v>
      </c>
    </row>
    <row r="36" spans="1:27" outlineLevel="2">
      <c r="A36" s="18" t="s">
        <v>25</v>
      </c>
      <c r="C36" s="21" t="s">
        <v>41</v>
      </c>
      <c r="D36" s="38"/>
      <c r="E36" s="57" t="s">
        <v>85</v>
      </c>
      <c r="F36" s="51">
        <f>0</f>
        <v>0</v>
      </c>
      <c r="G36" s="51">
        <f>0</f>
        <v>0</v>
      </c>
      <c r="H36" s="51">
        <f>0</f>
        <v>0</v>
      </c>
      <c r="I36" s="51">
        <f>0</f>
        <v>0</v>
      </c>
      <c r="J36" s="51">
        <f>0</f>
        <v>0</v>
      </c>
      <c r="K36" s="24">
        <f>0</f>
        <v>0</v>
      </c>
      <c r="L36" s="24">
        <f>0</f>
        <v>0</v>
      </c>
      <c r="M36" s="25">
        <f>0</f>
        <v>0</v>
      </c>
      <c r="N36" s="26">
        <f>0</f>
        <v>0</v>
      </c>
      <c r="O36" s="27">
        <f>0</f>
        <v>0</v>
      </c>
      <c r="P36" s="27">
        <f>0</f>
        <v>0</v>
      </c>
      <c r="Q36" s="27">
        <f>0</f>
        <v>0</v>
      </c>
      <c r="R36" s="27">
        <f>0</f>
        <v>0</v>
      </c>
      <c r="S36" s="27">
        <f>0</f>
        <v>0</v>
      </c>
      <c r="T36" s="27">
        <f>0</f>
        <v>0</v>
      </c>
      <c r="U36" s="27">
        <f>0</f>
        <v>0</v>
      </c>
      <c r="V36" s="27">
        <f>0</f>
        <v>0</v>
      </c>
      <c r="W36" s="27">
        <f>0</f>
        <v>0</v>
      </c>
      <c r="X36" s="27">
        <f>0</f>
        <v>0</v>
      </c>
      <c r="Y36" s="27">
        <f>0</f>
        <v>0</v>
      </c>
      <c r="Z36" s="27">
        <f>0</f>
        <v>0</v>
      </c>
      <c r="AA36" s="27">
        <f>0</f>
        <v>0</v>
      </c>
    </row>
    <row r="37" spans="1:27" outlineLevel="1">
      <c r="A37" s="18" t="s">
        <v>25</v>
      </c>
      <c r="C37" s="21" t="s">
        <v>228</v>
      </c>
      <c r="D37" s="38"/>
      <c r="E37" s="87" t="s">
        <v>87</v>
      </c>
      <c r="F37" s="51">
        <f>0</f>
        <v>0</v>
      </c>
      <c r="G37" s="51">
        <f>0</f>
        <v>0</v>
      </c>
      <c r="H37" s="51">
        <f>0</f>
        <v>0</v>
      </c>
      <c r="I37" s="51">
        <f>0</f>
        <v>0</v>
      </c>
      <c r="J37" s="51">
        <f>0</f>
        <v>0</v>
      </c>
      <c r="K37" s="24">
        <f>0</f>
        <v>0</v>
      </c>
      <c r="L37" s="24">
        <f>0</f>
        <v>0</v>
      </c>
      <c r="M37" s="25">
        <f>0</f>
        <v>0</v>
      </c>
      <c r="N37" s="26">
        <f>0</f>
        <v>0</v>
      </c>
      <c r="O37" s="27">
        <f>0</f>
        <v>0</v>
      </c>
      <c r="P37" s="27">
        <f>0</f>
        <v>0</v>
      </c>
      <c r="Q37" s="27">
        <f>0</f>
        <v>0</v>
      </c>
      <c r="R37" s="27">
        <f>0</f>
        <v>0</v>
      </c>
      <c r="S37" s="27">
        <f>0</f>
        <v>0</v>
      </c>
      <c r="T37" s="27">
        <f>0</f>
        <v>0</v>
      </c>
      <c r="U37" s="27">
        <f>0</f>
        <v>0</v>
      </c>
      <c r="V37" s="27">
        <f>0</f>
        <v>0</v>
      </c>
      <c r="W37" s="27">
        <f>0</f>
        <v>0</v>
      </c>
      <c r="X37" s="27">
        <f>0</f>
        <v>0</v>
      </c>
      <c r="Y37" s="27">
        <f>0</f>
        <v>0</v>
      </c>
      <c r="Z37" s="27">
        <f>0</f>
        <v>0</v>
      </c>
      <c r="AA37" s="27">
        <f>0</f>
        <v>0</v>
      </c>
    </row>
    <row r="38" spans="1:27" outlineLevel="2">
      <c r="A38" s="18" t="s">
        <v>25</v>
      </c>
      <c r="C38" s="21" t="s">
        <v>201</v>
      </c>
      <c r="D38" s="38"/>
      <c r="E38" s="57" t="s">
        <v>85</v>
      </c>
      <c r="F38" s="51">
        <f>0</f>
        <v>0</v>
      </c>
      <c r="G38" s="51">
        <f>0</f>
        <v>0</v>
      </c>
      <c r="H38" s="51">
        <f>0</f>
        <v>0</v>
      </c>
      <c r="I38" s="51">
        <f>0</f>
        <v>0</v>
      </c>
      <c r="J38" s="51">
        <f>0</f>
        <v>0</v>
      </c>
      <c r="K38" s="24">
        <f>0</f>
        <v>0</v>
      </c>
      <c r="L38" s="24">
        <f>0</f>
        <v>0</v>
      </c>
      <c r="M38" s="25">
        <f>0</f>
        <v>0</v>
      </c>
      <c r="N38" s="26">
        <f>0</f>
        <v>0</v>
      </c>
      <c r="O38" s="27">
        <f>0</f>
        <v>0</v>
      </c>
      <c r="P38" s="27">
        <f>0</f>
        <v>0</v>
      </c>
      <c r="Q38" s="27">
        <f>0</f>
        <v>0</v>
      </c>
      <c r="R38" s="27">
        <f>0</f>
        <v>0</v>
      </c>
      <c r="S38" s="27">
        <f>0</f>
        <v>0</v>
      </c>
      <c r="T38" s="27">
        <f>0</f>
        <v>0</v>
      </c>
      <c r="U38" s="27">
        <f>0</f>
        <v>0</v>
      </c>
      <c r="V38" s="27">
        <f>0</f>
        <v>0</v>
      </c>
      <c r="W38" s="27">
        <f>0</f>
        <v>0</v>
      </c>
      <c r="X38" s="27">
        <f>0</f>
        <v>0</v>
      </c>
      <c r="Y38" s="27">
        <f>0</f>
        <v>0</v>
      </c>
      <c r="Z38" s="27">
        <f>0</f>
        <v>0</v>
      </c>
      <c r="AA38" s="27">
        <f>0</f>
        <v>0</v>
      </c>
    </row>
    <row r="39" spans="1:27">
      <c r="A39" s="18" t="s">
        <v>25</v>
      </c>
      <c r="B39" s="18" t="s">
        <v>25</v>
      </c>
      <c r="C39" s="14">
        <v>5</v>
      </c>
      <c r="D39" s="38"/>
      <c r="E39" s="59" t="s">
        <v>42</v>
      </c>
      <c r="F39" s="52">
        <f>0</f>
        <v>0</v>
      </c>
      <c r="G39" s="52">
        <f>1018252.6</f>
        <v>1018252.6</v>
      </c>
      <c r="H39" s="52">
        <f>1387875.6</f>
        <v>1387875.6</v>
      </c>
      <c r="I39" s="52">
        <f>1205875.6</f>
        <v>1205875.6000000001</v>
      </c>
      <c r="J39" s="52">
        <f>1205875.6</f>
        <v>1205875.6000000001</v>
      </c>
      <c r="K39" s="22">
        <f>1123718</f>
        <v>1123718</v>
      </c>
      <c r="L39" s="22">
        <f>765994</f>
        <v>765994</v>
      </c>
      <c r="M39" s="23">
        <f>765994</f>
        <v>765994</v>
      </c>
      <c r="N39" s="15">
        <f>685984</f>
        <v>685984</v>
      </c>
      <c r="O39" s="16">
        <f>803535.6</f>
        <v>803535.6</v>
      </c>
      <c r="P39" s="16">
        <f>803540.94</f>
        <v>803540.94</v>
      </c>
      <c r="Q39" s="16">
        <f>632593.2</f>
        <v>632593.19999999995</v>
      </c>
      <c r="R39" s="16">
        <f>541436.11</f>
        <v>541436.11</v>
      </c>
      <c r="S39" s="16">
        <f t="shared" ref="S39:X40" si="5">191817.6</f>
        <v>191817.60000000001</v>
      </c>
      <c r="T39" s="16">
        <f t="shared" si="5"/>
        <v>191817.60000000001</v>
      </c>
      <c r="U39" s="16">
        <f t="shared" si="5"/>
        <v>191817.60000000001</v>
      </c>
      <c r="V39" s="16">
        <f t="shared" si="5"/>
        <v>191817.60000000001</v>
      </c>
      <c r="W39" s="16">
        <f t="shared" si="5"/>
        <v>191817.60000000001</v>
      </c>
      <c r="X39" s="16">
        <f t="shared" si="5"/>
        <v>191817.60000000001</v>
      </c>
      <c r="Y39" s="16">
        <f t="shared" ref="Y39:AA40" si="6">74266</f>
        <v>74266</v>
      </c>
      <c r="Z39" s="16">
        <f t="shared" si="6"/>
        <v>74266</v>
      </c>
      <c r="AA39" s="16">
        <f t="shared" si="6"/>
        <v>74266</v>
      </c>
    </row>
    <row r="40" spans="1:27" outlineLevel="1">
      <c r="A40" s="18" t="s">
        <v>25</v>
      </c>
      <c r="B40" s="18" t="s">
        <v>25</v>
      </c>
      <c r="C40" s="21" t="s">
        <v>54</v>
      </c>
      <c r="D40" s="38" t="s">
        <v>294</v>
      </c>
      <c r="E40" s="87" t="s">
        <v>88</v>
      </c>
      <c r="F40" s="51">
        <f>0</f>
        <v>0</v>
      </c>
      <c r="G40" s="51">
        <f>1018252.6</f>
        <v>1018252.6</v>
      </c>
      <c r="H40" s="51">
        <f>1387875.6</f>
        <v>1387875.6</v>
      </c>
      <c r="I40" s="51">
        <f>1205875.6</f>
        <v>1205875.6000000001</v>
      </c>
      <c r="J40" s="51">
        <f>1205875.6</f>
        <v>1205875.6000000001</v>
      </c>
      <c r="K40" s="24">
        <f>1123718</f>
        <v>1123718</v>
      </c>
      <c r="L40" s="24">
        <f>765994</f>
        <v>765994</v>
      </c>
      <c r="M40" s="25">
        <f>765994</f>
        <v>765994</v>
      </c>
      <c r="N40" s="26">
        <f>685984</f>
        <v>685984</v>
      </c>
      <c r="O40" s="27">
        <f>803535.6</f>
        <v>803535.6</v>
      </c>
      <c r="P40" s="27">
        <f>803540.94</f>
        <v>803540.94</v>
      </c>
      <c r="Q40" s="27">
        <f>632593.2</f>
        <v>632593.19999999995</v>
      </c>
      <c r="R40" s="27">
        <f>541436.11</f>
        <v>541436.11</v>
      </c>
      <c r="S40" s="27">
        <f t="shared" si="5"/>
        <v>191817.60000000001</v>
      </c>
      <c r="T40" s="27">
        <f t="shared" si="5"/>
        <v>191817.60000000001</v>
      </c>
      <c r="U40" s="27">
        <f t="shared" si="5"/>
        <v>191817.60000000001</v>
      </c>
      <c r="V40" s="27">
        <f t="shared" si="5"/>
        <v>191817.60000000001</v>
      </c>
      <c r="W40" s="27">
        <f t="shared" si="5"/>
        <v>191817.60000000001</v>
      </c>
      <c r="X40" s="27">
        <f t="shared" si="5"/>
        <v>191817.60000000001</v>
      </c>
      <c r="Y40" s="27">
        <f t="shared" si="6"/>
        <v>74266</v>
      </c>
      <c r="Z40" s="27">
        <f t="shared" si="6"/>
        <v>74266</v>
      </c>
      <c r="AA40" s="27">
        <f t="shared" si="6"/>
        <v>74266</v>
      </c>
    </row>
    <row r="41" spans="1:27" outlineLevel="2">
      <c r="A41" s="18" t="s">
        <v>25</v>
      </c>
      <c r="B41" s="18" t="s">
        <v>25</v>
      </c>
      <c r="C41" s="21" t="s">
        <v>43</v>
      </c>
      <c r="D41" s="38"/>
      <c r="E41" s="57" t="s">
        <v>252</v>
      </c>
      <c r="F41" s="51">
        <f>0</f>
        <v>0</v>
      </c>
      <c r="G41" s="51">
        <f>0</f>
        <v>0</v>
      </c>
      <c r="H41" s="51">
        <f>0</f>
        <v>0</v>
      </c>
      <c r="I41" s="51">
        <f>0</f>
        <v>0</v>
      </c>
      <c r="J41" s="51">
        <f>0</f>
        <v>0</v>
      </c>
      <c r="K41" s="24">
        <f>0</f>
        <v>0</v>
      </c>
      <c r="L41" s="24">
        <f>0</f>
        <v>0</v>
      </c>
      <c r="M41" s="25">
        <f>0</f>
        <v>0</v>
      </c>
      <c r="N41" s="26">
        <f>0</f>
        <v>0</v>
      </c>
      <c r="O41" s="27">
        <f>0</f>
        <v>0</v>
      </c>
      <c r="P41" s="27">
        <f>0</f>
        <v>0</v>
      </c>
      <c r="Q41" s="27">
        <f>0</f>
        <v>0</v>
      </c>
      <c r="R41" s="27">
        <f>0</f>
        <v>0</v>
      </c>
      <c r="S41" s="27">
        <f>0</f>
        <v>0</v>
      </c>
      <c r="T41" s="27">
        <f>0</f>
        <v>0</v>
      </c>
      <c r="U41" s="27">
        <f>0</f>
        <v>0</v>
      </c>
      <c r="V41" s="27">
        <f>0</f>
        <v>0</v>
      </c>
      <c r="W41" s="27">
        <f>0</f>
        <v>0</v>
      </c>
      <c r="X41" s="27">
        <f>0</f>
        <v>0</v>
      </c>
      <c r="Y41" s="27">
        <f>0</f>
        <v>0</v>
      </c>
      <c r="Z41" s="27">
        <f>0</f>
        <v>0</v>
      </c>
      <c r="AA41" s="27">
        <f>0</f>
        <v>0</v>
      </c>
    </row>
    <row r="42" spans="1:27" outlineLevel="3">
      <c r="A42" s="18" t="s">
        <v>25</v>
      </c>
      <c r="C42" s="21" t="s">
        <v>44</v>
      </c>
      <c r="D42" s="38"/>
      <c r="E42" s="89" t="s">
        <v>253</v>
      </c>
      <c r="F42" s="51">
        <f>0</f>
        <v>0</v>
      </c>
      <c r="G42" s="51">
        <f>0</f>
        <v>0</v>
      </c>
      <c r="H42" s="51">
        <f>0</f>
        <v>0</v>
      </c>
      <c r="I42" s="51">
        <f>0</f>
        <v>0</v>
      </c>
      <c r="J42" s="51">
        <f>0</f>
        <v>0</v>
      </c>
      <c r="K42" s="24">
        <f>0</f>
        <v>0</v>
      </c>
      <c r="L42" s="24">
        <f>0</f>
        <v>0</v>
      </c>
      <c r="M42" s="25">
        <f>0</f>
        <v>0</v>
      </c>
      <c r="N42" s="26">
        <f>0</f>
        <v>0</v>
      </c>
      <c r="O42" s="27">
        <f>0</f>
        <v>0</v>
      </c>
      <c r="P42" s="27">
        <f>0</f>
        <v>0</v>
      </c>
      <c r="Q42" s="27">
        <f>0</f>
        <v>0</v>
      </c>
      <c r="R42" s="27">
        <f>0</f>
        <v>0</v>
      </c>
      <c r="S42" s="27">
        <f>0</f>
        <v>0</v>
      </c>
      <c r="T42" s="27">
        <f>0</f>
        <v>0</v>
      </c>
      <c r="U42" s="27">
        <f>0</f>
        <v>0</v>
      </c>
      <c r="V42" s="27">
        <f>0</f>
        <v>0</v>
      </c>
      <c r="W42" s="27">
        <f>0</f>
        <v>0</v>
      </c>
      <c r="X42" s="27">
        <f>0</f>
        <v>0</v>
      </c>
      <c r="Y42" s="27">
        <f>0</f>
        <v>0</v>
      </c>
      <c r="Z42" s="27">
        <f>0</f>
        <v>0</v>
      </c>
      <c r="AA42" s="27">
        <f>0</f>
        <v>0</v>
      </c>
    </row>
    <row r="43" spans="1:27" outlineLevel="3">
      <c r="A43" s="18" t="s">
        <v>25</v>
      </c>
      <c r="C43" s="21" t="s">
        <v>100</v>
      </c>
      <c r="D43" s="38"/>
      <c r="E43" s="89" t="s">
        <v>254</v>
      </c>
      <c r="F43" s="51">
        <f>0</f>
        <v>0</v>
      </c>
      <c r="G43" s="51">
        <f>0</f>
        <v>0</v>
      </c>
      <c r="H43" s="51">
        <f>0</f>
        <v>0</v>
      </c>
      <c r="I43" s="51">
        <f>0</f>
        <v>0</v>
      </c>
      <c r="J43" s="51">
        <f>0</f>
        <v>0</v>
      </c>
      <c r="K43" s="24">
        <f>0</f>
        <v>0</v>
      </c>
      <c r="L43" s="24">
        <f>0</f>
        <v>0</v>
      </c>
      <c r="M43" s="25">
        <f>0</f>
        <v>0</v>
      </c>
      <c r="N43" s="26">
        <f>0</f>
        <v>0</v>
      </c>
      <c r="O43" s="27">
        <f>0</f>
        <v>0</v>
      </c>
      <c r="P43" s="27">
        <f>0</f>
        <v>0</v>
      </c>
      <c r="Q43" s="27">
        <f>0</f>
        <v>0</v>
      </c>
      <c r="R43" s="27">
        <f>0</f>
        <v>0</v>
      </c>
      <c r="S43" s="27">
        <f>0</f>
        <v>0</v>
      </c>
      <c r="T43" s="27">
        <f>0</f>
        <v>0</v>
      </c>
      <c r="U43" s="27">
        <f>0</f>
        <v>0</v>
      </c>
      <c r="V43" s="27">
        <f>0</f>
        <v>0</v>
      </c>
      <c r="W43" s="27">
        <f>0</f>
        <v>0</v>
      </c>
      <c r="X43" s="27">
        <f>0</f>
        <v>0</v>
      </c>
      <c r="Y43" s="27">
        <f>0</f>
        <v>0</v>
      </c>
      <c r="Z43" s="27">
        <f>0</f>
        <v>0</v>
      </c>
      <c r="AA43" s="27">
        <f>0</f>
        <v>0</v>
      </c>
    </row>
    <row r="44" spans="1:27" outlineLevel="3">
      <c r="C44" s="21" t="s">
        <v>101</v>
      </c>
      <c r="D44" s="38"/>
      <c r="E44" s="89" t="s">
        <v>255</v>
      </c>
      <c r="F44" s="51">
        <f>0</f>
        <v>0</v>
      </c>
      <c r="G44" s="51">
        <f>0</f>
        <v>0</v>
      </c>
      <c r="H44" s="51">
        <f>0</f>
        <v>0</v>
      </c>
      <c r="I44" s="51">
        <f>0</f>
        <v>0</v>
      </c>
      <c r="J44" s="51">
        <f>0</f>
        <v>0</v>
      </c>
      <c r="K44" s="24">
        <f>0</f>
        <v>0</v>
      </c>
      <c r="L44" s="24">
        <f>0</f>
        <v>0</v>
      </c>
      <c r="M44" s="25">
        <f>0</f>
        <v>0</v>
      </c>
      <c r="N44" s="26">
        <f>0</f>
        <v>0</v>
      </c>
      <c r="O44" s="27">
        <f>0</f>
        <v>0</v>
      </c>
      <c r="P44" s="27">
        <f>0</f>
        <v>0</v>
      </c>
      <c r="Q44" s="27">
        <f>0</f>
        <v>0</v>
      </c>
      <c r="R44" s="27">
        <f>0</f>
        <v>0</v>
      </c>
      <c r="S44" s="27">
        <f>0</f>
        <v>0</v>
      </c>
      <c r="T44" s="27">
        <f>0</f>
        <v>0</v>
      </c>
      <c r="U44" s="27">
        <f>0</f>
        <v>0</v>
      </c>
      <c r="V44" s="27">
        <f>0</f>
        <v>0</v>
      </c>
      <c r="W44" s="27">
        <f>0</f>
        <v>0</v>
      </c>
      <c r="X44" s="27">
        <f>0</f>
        <v>0</v>
      </c>
      <c r="Y44" s="27">
        <f>0</f>
        <v>0</v>
      </c>
      <c r="Z44" s="27">
        <f>0</f>
        <v>0</v>
      </c>
      <c r="AA44" s="27">
        <f>0</f>
        <v>0</v>
      </c>
    </row>
    <row r="45" spans="1:27" outlineLevel="4">
      <c r="C45" s="21" t="s">
        <v>202</v>
      </c>
      <c r="D45" s="38"/>
      <c r="E45" s="58" t="s">
        <v>256</v>
      </c>
      <c r="F45" s="51">
        <f>0</f>
        <v>0</v>
      </c>
      <c r="G45" s="51">
        <f>0</f>
        <v>0</v>
      </c>
      <c r="H45" s="51">
        <f>0</f>
        <v>0</v>
      </c>
      <c r="I45" s="51">
        <f>0</f>
        <v>0</v>
      </c>
      <c r="J45" s="51">
        <f>0</f>
        <v>0</v>
      </c>
      <c r="K45" s="24">
        <f>0</f>
        <v>0</v>
      </c>
      <c r="L45" s="24">
        <f>0</f>
        <v>0</v>
      </c>
      <c r="M45" s="25">
        <f>0</f>
        <v>0</v>
      </c>
      <c r="N45" s="26">
        <f>0</f>
        <v>0</v>
      </c>
      <c r="O45" s="27">
        <f>0</f>
        <v>0</v>
      </c>
      <c r="P45" s="27">
        <f>0</f>
        <v>0</v>
      </c>
      <c r="Q45" s="27">
        <f>0</f>
        <v>0</v>
      </c>
      <c r="R45" s="27">
        <f>0</f>
        <v>0</v>
      </c>
      <c r="S45" s="27">
        <f>0</f>
        <v>0</v>
      </c>
      <c r="T45" s="27">
        <f>0</f>
        <v>0</v>
      </c>
      <c r="U45" s="27">
        <f>0</f>
        <v>0</v>
      </c>
      <c r="V45" s="27">
        <f>0</f>
        <v>0</v>
      </c>
      <c r="W45" s="27">
        <f>0</f>
        <v>0</v>
      </c>
      <c r="X45" s="27">
        <f>0</f>
        <v>0</v>
      </c>
      <c r="Y45" s="27">
        <f>0</f>
        <v>0</v>
      </c>
      <c r="Z45" s="27">
        <f>0</f>
        <v>0</v>
      </c>
      <c r="AA45" s="27">
        <f>0</f>
        <v>0</v>
      </c>
    </row>
    <row r="46" spans="1:27" outlineLevel="4">
      <c r="C46" s="21" t="s">
        <v>203</v>
      </c>
      <c r="D46" s="38"/>
      <c r="E46" s="58" t="s">
        <v>257</v>
      </c>
      <c r="F46" s="51">
        <f>0</f>
        <v>0</v>
      </c>
      <c r="G46" s="51">
        <f>0</f>
        <v>0</v>
      </c>
      <c r="H46" s="51">
        <f>0</f>
        <v>0</v>
      </c>
      <c r="I46" s="51">
        <f>0</f>
        <v>0</v>
      </c>
      <c r="J46" s="51">
        <f>0</f>
        <v>0</v>
      </c>
      <c r="K46" s="24">
        <f>0</f>
        <v>0</v>
      </c>
      <c r="L46" s="24">
        <f>0</f>
        <v>0</v>
      </c>
      <c r="M46" s="25">
        <f>0</f>
        <v>0</v>
      </c>
      <c r="N46" s="26">
        <f>0</f>
        <v>0</v>
      </c>
      <c r="O46" s="27">
        <f>0</f>
        <v>0</v>
      </c>
      <c r="P46" s="27">
        <f>0</f>
        <v>0</v>
      </c>
      <c r="Q46" s="27">
        <f>0</f>
        <v>0</v>
      </c>
      <c r="R46" s="27">
        <f>0</f>
        <v>0</v>
      </c>
      <c r="S46" s="27">
        <f>0</f>
        <v>0</v>
      </c>
      <c r="T46" s="27">
        <f>0</f>
        <v>0</v>
      </c>
      <c r="U46" s="27">
        <f>0</f>
        <v>0</v>
      </c>
      <c r="V46" s="27">
        <f>0</f>
        <v>0</v>
      </c>
      <c r="W46" s="27">
        <f>0</f>
        <v>0</v>
      </c>
      <c r="X46" s="27">
        <f>0</f>
        <v>0</v>
      </c>
      <c r="Y46" s="27">
        <f>0</f>
        <v>0</v>
      </c>
      <c r="Z46" s="27">
        <f>0</f>
        <v>0</v>
      </c>
      <c r="AA46" s="27">
        <f>0</f>
        <v>0</v>
      </c>
    </row>
    <row r="47" spans="1:27" outlineLevel="4">
      <c r="C47" s="21" t="s">
        <v>204</v>
      </c>
      <c r="D47" s="38"/>
      <c r="E47" s="58" t="s">
        <v>258</v>
      </c>
      <c r="F47" s="51">
        <f>0</f>
        <v>0</v>
      </c>
      <c r="G47" s="51">
        <f>0</f>
        <v>0</v>
      </c>
      <c r="H47" s="51">
        <f>0</f>
        <v>0</v>
      </c>
      <c r="I47" s="51">
        <f>0</f>
        <v>0</v>
      </c>
      <c r="J47" s="51">
        <f>0</f>
        <v>0</v>
      </c>
      <c r="K47" s="24">
        <f>0</f>
        <v>0</v>
      </c>
      <c r="L47" s="24">
        <f>0</f>
        <v>0</v>
      </c>
      <c r="M47" s="25">
        <f>0</f>
        <v>0</v>
      </c>
      <c r="N47" s="26">
        <f>0</f>
        <v>0</v>
      </c>
      <c r="O47" s="27">
        <f>0</f>
        <v>0</v>
      </c>
      <c r="P47" s="27">
        <f>0</f>
        <v>0</v>
      </c>
      <c r="Q47" s="27">
        <f>0</f>
        <v>0</v>
      </c>
      <c r="R47" s="27">
        <f>0</f>
        <v>0</v>
      </c>
      <c r="S47" s="27">
        <f>0</f>
        <v>0</v>
      </c>
      <c r="T47" s="27">
        <f>0</f>
        <v>0</v>
      </c>
      <c r="U47" s="27">
        <f>0</f>
        <v>0</v>
      </c>
      <c r="V47" s="27">
        <f>0</f>
        <v>0</v>
      </c>
      <c r="W47" s="27">
        <f>0</f>
        <v>0</v>
      </c>
      <c r="X47" s="27">
        <f>0</f>
        <v>0</v>
      </c>
      <c r="Y47" s="27">
        <f>0</f>
        <v>0</v>
      </c>
      <c r="Z47" s="27">
        <f>0</f>
        <v>0</v>
      </c>
      <c r="AA47" s="27">
        <f>0</f>
        <v>0</v>
      </c>
    </row>
    <row r="48" spans="1:27" outlineLevel="4">
      <c r="C48" s="21" t="s">
        <v>321</v>
      </c>
      <c r="D48" s="38"/>
      <c r="E48" s="89" t="s">
        <v>334</v>
      </c>
      <c r="F48" s="51">
        <f>0</f>
        <v>0</v>
      </c>
      <c r="G48" s="51">
        <f>0</f>
        <v>0</v>
      </c>
      <c r="H48" s="51">
        <f>0</f>
        <v>0</v>
      </c>
      <c r="I48" s="51">
        <f>0</f>
        <v>0</v>
      </c>
      <c r="J48" s="51">
        <f>0</f>
        <v>0</v>
      </c>
      <c r="K48" s="24">
        <f>0</f>
        <v>0</v>
      </c>
      <c r="L48" s="24">
        <f>0</f>
        <v>0</v>
      </c>
      <c r="M48" s="25">
        <f>0</f>
        <v>0</v>
      </c>
      <c r="N48" s="26">
        <f>0</f>
        <v>0</v>
      </c>
      <c r="O48" s="27">
        <f>0</f>
        <v>0</v>
      </c>
      <c r="P48" s="27">
        <f>0</f>
        <v>0</v>
      </c>
      <c r="Q48" s="27">
        <f>0</f>
        <v>0</v>
      </c>
      <c r="R48" s="27">
        <f>0</f>
        <v>0</v>
      </c>
      <c r="S48" s="27">
        <f>0</f>
        <v>0</v>
      </c>
      <c r="T48" s="27">
        <f>0</f>
        <v>0</v>
      </c>
      <c r="U48" s="27">
        <f>0</f>
        <v>0</v>
      </c>
      <c r="V48" s="27">
        <f>0</f>
        <v>0</v>
      </c>
      <c r="W48" s="27">
        <f>0</f>
        <v>0</v>
      </c>
      <c r="X48" s="27">
        <f>0</f>
        <v>0</v>
      </c>
      <c r="Y48" s="27">
        <f>0</f>
        <v>0</v>
      </c>
      <c r="Z48" s="27">
        <f>0</f>
        <v>0</v>
      </c>
      <c r="AA48" s="27">
        <f>0</f>
        <v>0</v>
      </c>
    </row>
    <row r="49" spans="1:27" outlineLevel="1">
      <c r="C49" s="21" t="s">
        <v>55</v>
      </c>
      <c r="D49" s="38"/>
      <c r="E49" s="87" t="s">
        <v>89</v>
      </c>
      <c r="F49" s="51">
        <f>0</f>
        <v>0</v>
      </c>
      <c r="G49" s="51">
        <f>0</f>
        <v>0</v>
      </c>
      <c r="H49" s="51">
        <f>0</f>
        <v>0</v>
      </c>
      <c r="I49" s="51">
        <f>0</f>
        <v>0</v>
      </c>
      <c r="J49" s="51">
        <f>0</f>
        <v>0</v>
      </c>
      <c r="K49" s="24">
        <f>0</f>
        <v>0</v>
      </c>
      <c r="L49" s="24">
        <f>0</f>
        <v>0</v>
      </c>
      <c r="M49" s="25">
        <f>0</f>
        <v>0</v>
      </c>
      <c r="N49" s="26">
        <f>0</f>
        <v>0</v>
      </c>
      <c r="O49" s="27">
        <f>0</f>
        <v>0</v>
      </c>
      <c r="P49" s="27">
        <f>0</f>
        <v>0</v>
      </c>
      <c r="Q49" s="27">
        <f>0</f>
        <v>0</v>
      </c>
      <c r="R49" s="27">
        <f>0</f>
        <v>0</v>
      </c>
      <c r="S49" s="27">
        <f>0</f>
        <v>0</v>
      </c>
      <c r="T49" s="27">
        <f>0</f>
        <v>0</v>
      </c>
      <c r="U49" s="27">
        <f>0</f>
        <v>0</v>
      </c>
      <c r="V49" s="27">
        <f>0</f>
        <v>0</v>
      </c>
      <c r="W49" s="27">
        <f>0</f>
        <v>0</v>
      </c>
      <c r="X49" s="27">
        <f>0</f>
        <v>0</v>
      </c>
      <c r="Y49" s="27">
        <f>0</f>
        <v>0</v>
      </c>
      <c r="Z49" s="27">
        <f>0</f>
        <v>0</v>
      </c>
      <c r="AA49" s="27">
        <f>0</f>
        <v>0</v>
      </c>
    </row>
    <row r="50" spans="1:27">
      <c r="A50" s="18" t="s">
        <v>25</v>
      </c>
      <c r="C50" s="48" t="s">
        <v>299</v>
      </c>
      <c r="D50" s="38" t="s">
        <v>290</v>
      </c>
      <c r="E50" s="59" t="s">
        <v>148</v>
      </c>
      <c r="F50" s="52">
        <f>0</f>
        <v>0</v>
      </c>
      <c r="G50" s="52">
        <f>8240616.25</f>
        <v>8240616.25</v>
      </c>
      <c r="H50" s="52">
        <f>6852740.65</f>
        <v>6852740.6500000004</v>
      </c>
      <c r="I50" s="52">
        <f>5646865.05</f>
        <v>5646865.0499999998</v>
      </c>
      <c r="J50" s="52">
        <f>4440989.45</f>
        <v>4440989.45</v>
      </c>
      <c r="K50" s="22">
        <f>4431271.45</f>
        <v>4431271.45</v>
      </c>
      <c r="L50" s="22">
        <f>3665277.45</f>
        <v>3665277.45</v>
      </c>
      <c r="M50" s="23">
        <f>3665277.45</f>
        <v>3665277.45</v>
      </c>
      <c r="N50" s="15">
        <f>4154809.45</f>
        <v>4154809.45</v>
      </c>
      <c r="O50" s="16">
        <f>3351273.85</f>
        <v>3351273.85</v>
      </c>
      <c r="P50" s="16">
        <f>2547732.91</f>
        <v>2547732.91</v>
      </c>
      <c r="Q50" s="16">
        <f>1915139.71</f>
        <v>1915139.71</v>
      </c>
      <c r="R50" s="16">
        <f>1373703.6</f>
        <v>1373703.6</v>
      </c>
      <c r="S50" s="16">
        <f>1181886</f>
        <v>1181886</v>
      </c>
      <c r="T50" s="16">
        <f>990068.4</f>
        <v>990068.4</v>
      </c>
      <c r="U50" s="16">
        <f>798250.8</f>
        <v>798250.8</v>
      </c>
      <c r="V50" s="16">
        <f>606433.2</f>
        <v>606433.19999999995</v>
      </c>
      <c r="W50" s="16">
        <f>414615.6</f>
        <v>414615.6</v>
      </c>
      <c r="X50" s="16">
        <f>222798</f>
        <v>222798</v>
      </c>
      <c r="Y50" s="16">
        <f>148532</f>
        <v>148532</v>
      </c>
      <c r="Z50" s="16">
        <f>74266</f>
        <v>74266</v>
      </c>
      <c r="AA50" s="16">
        <f>0</f>
        <v>0</v>
      </c>
    </row>
    <row r="51" spans="1:27" outlineLevel="1">
      <c r="A51" s="18" t="s">
        <v>25</v>
      </c>
      <c r="C51" s="21" t="s">
        <v>56</v>
      </c>
      <c r="D51" s="38"/>
      <c r="E51" s="87" t="s">
        <v>259</v>
      </c>
      <c r="F51" s="51">
        <f>0</f>
        <v>0</v>
      </c>
      <c r="G51" s="51">
        <f>0</f>
        <v>0</v>
      </c>
      <c r="H51" s="51">
        <f>0</f>
        <v>0</v>
      </c>
      <c r="I51" s="51">
        <f>0</f>
        <v>0</v>
      </c>
      <c r="J51" s="51">
        <f>0</f>
        <v>0</v>
      </c>
      <c r="K51" s="24">
        <f>0</f>
        <v>0</v>
      </c>
      <c r="L51" s="24">
        <f>0</f>
        <v>0</v>
      </c>
      <c r="M51" s="25">
        <f>0</f>
        <v>0</v>
      </c>
      <c r="N51" s="26">
        <f>0</f>
        <v>0</v>
      </c>
      <c r="O51" s="27">
        <f>0</f>
        <v>0</v>
      </c>
      <c r="P51" s="27">
        <f>0</f>
        <v>0</v>
      </c>
      <c r="Q51" s="27">
        <f>0</f>
        <v>0</v>
      </c>
      <c r="R51" s="27">
        <f>0</f>
        <v>0</v>
      </c>
      <c r="S51" s="27">
        <f>0</f>
        <v>0</v>
      </c>
      <c r="T51" s="27">
        <f>0</f>
        <v>0</v>
      </c>
      <c r="U51" s="27">
        <f>0</f>
        <v>0</v>
      </c>
      <c r="V51" s="27">
        <f>0</f>
        <v>0</v>
      </c>
      <c r="W51" s="27">
        <f>0</f>
        <v>0</v>
      </c>
      <c r="X51" s="27">
        <f>0</f>
        <v>0</v>
      </c>
      <c r="Y51" s="27">
        <f>0</f>
        <v>0</v>
      </c>
      <c r="Z51" s="27">
        <f>0</f>
        <v>0</v>
      </c>
      <c r="AA51" s="27">
        <f>0</f>
        <v>0</v>
      </c>
    </row>
    <row r="52" spans="1:27">
      <c r="A52" s="18" t="s">
        <v>25</v>
      </c>
      <c r="B52" s="18" t="s">
        <v>25</v>
      </c>
      <c r="C52" s="14">
        <v>7</v>
      </c>
      <c r="D52" s="38"/>
      <c r="E52" s="59" t="s">
        <v>57</v>
      </c>
      <c r="F52" s="53" t="s">
        <v>25</v>
      </c>
      <c r="G52" s="53" t="s">
        <v>25</v>
      </c>
      <c r="H52" s="53" t="s">
        <v>25</v>
      </c>
      <c r="I52" s="53" t="s">
        <v>25</v>
      </c>
      <c r="J52" s="53" t="s">
        <v>25</v>
      </c>
      <c r="K52" s="30" t="s">
        <v>25</v>
      </c>
      <c r="L52" s="30" t="s">
        <v>25</v>
      </c>
      <c r="M52" s="31" t="s">
        <v>25</v>
      </c>
      <c r="N52" s="32" t="s">
        <v>25</v>
      </c>
      <c r="O52" s="33" t="s">
        <v>25</v>
      </c>
      <c r="P52" s="33" t="s">
        <v>25</v>
      </c>
      <c r="Q52" s="33" t="s">
        <v>25</v>
      </c>
      <c r="R52" s="33" t="s">
        <v>25</v>
      </c>
      <c r="S52" s="33" t="s">
        <v>25</v>
      </c>
      <c r="T52" s="33" t="s">
        <v>25</v>
      </c>
      <c r="U52" s="33" t="s">
        <v>25</v>
      </c>
      <c r="V52" s="33" t="s">
        <v>25</v>
      </c>
      <c r="W52" s="33" t="s">
        <v>25</v>
      </c>
      <c r="X52" s="33" t="s">
        <v>25</v>
      </c>
      <c r="Y52" s="33" t="s">
        <v>25</v>
      </c>
      <c r="Z52" s="33" t="s">
        <v>25</v>
      </c>
      <c r="AA52" s="33" t="s">
        <v>25</v>
      </c>
    </row>
    <row r="53" spans="1:27" outlineLevel="1">
      <c r="A53" s="18" t="s">
        <v>25</v>
      </c>
      <c r="B53" s="18" t="s">
        <v>25</v>
      </c>
      <c r="C53" s="28" t="s">
        <v>229</v>
      </c>
      <c r="D53" s="38" t="s">
        <v>295</v>
      </c>
      <c r="E53" s="88" t="s">
        <v>97</v>
      </c>
      <c r="F53" s="51">
        <f>4652895.92</f>
        <v>4652895.92</v>
      </c>
      <c r="G53" s="51">
        <f>1018976.12</f>
        <v>1018976.12</v>
      </c>
      <c r="H53" s="51">
        <f>3391268.71</f>
        <v>3391268.71</v>
      </c>
      <c r="I53" s="51">
        <f>4757354.49</f>
        <v>4757354.49</v>
      </c>
      <c r="J53" s="51">
        <f>5099331.81</f>
        <v>5099331.8099999996</v>
      </c>
      <c r="K53" s="24">
        <f>2402729.66</f>
        <v>2402729.66</v>
      </c>
      <c r="L53" s="24">
        <f>-4174293.61</f>
        <v>-4174293.61</v>
      </c>
      <c r="M53" s="25">
        <f>4118301.79</f>
        <v>4118301.79</v>
      </c>
      <c r="N53" s="26">
        <f>509531.89</f>
        <v>509531.89</v>
      </c>
      <c r="O53" s="27">
        <f>5466035.6</f>
        <v>5466035.5999999996</v>
      </c>
      <c r="P53" s="27">
        <f>1048540.94</f>
        <v>1048540.94</v>
      </c>
      <c r="Q53" s="27">
        <f>1055962.6</f>
        <v>1055962.6000000001</v>
      </c>
      <c r="R53" s="27">
        <f>1238692.6</f>
        <v>1238692.6000000001</v>
      </c>
      <c r="S53" s="27">
        <f>1252448.6</f>
        <v>1252448.6000000001</v>
      </c>
      <c r="T53" s="27">
        <f>1278740.6</f>
        <v>1278740.6000000001</v>
      </c>
      <c r="U53" s="27">
        <f>1341594.6</f>
        <v>1341594.6000000001</v>
      </c>
      <c r="V53" s="27">
        <f>1248300.92</f>
        <v>1248300.92</v>
      </c>
      <c r="W53" s="27">
        <f>1297454.03</f>
        <v>1297454.03</v>
      </c>
      <c r="X53" s="27">
        <f>1609885.6</f>
        <v>1609885.6</v>
      </c>
      <c r="Y53" s="27">
        <f>1625228</f>
        <v>1625228</v>
      </c>
      <c r="Z53" s="27">
        <f>1772062</f>
        <v>1772062</v>
      </c>
      <c r="AA53" s="27">
        <f>1960017</f>
        <v>1960017</v>
      </c>
    </row>
    <row r="54" spans="1:27" outlineLevel="1">
      <c r="A54" s="18" t="s">
        <v>25</v>
      </c>
      <c r="B54" s="18" t="s">
        <v>25</v>
      </c>
      <c r="C54" s="21" t="s">
        <v>230</v>
      </c>
      <c r="D54" s="38" t="s">
        <v>428</v>
      </c>
      <c r="E54" s="87" t="s">
        <v>309</v>
      </c>
      <c r="F54" s="51">
        <f>4652895.92</f>
        <v>4652895.92</v>
      </c>
      <c r="G54" s="51">
        <f>3318026.51</f>
        <v>3318026.51</v>
      </c>
      <c r="H54" s="51">
        <f>5467818.86</f>
        <v>5467818.8600000003</v>
      </c>
      <c r="I54" s="51">
        <f>12488376.37</f>
        <v>12488376.369999999</v>
      </c>
      <c r="J54" s="51">
        <f>9200692.13</f>
        <v>9200692.1300000008</v>
      </c>
      <c r="K54" s="24">
        <f>9029311.75</f>
        <v>9029311.75</v>
      </c>
      <c r="L54" s="24">
        <f>2739690</f>
        <v>2739690</v>
      </c>
      <c r="M54" s="25">
        <f>11032285.4</f>
        <v>11032285.4</v>
      </c>
      <c r="N54" s="26">
        <f>8806533.07</f>
        <v>8806533.0700000003</v>
      </c>
      <c r="O54" s="27">
        <f>5466035.6</f>
        <v>5466035.5999999996</v>
      </c>
      <c r="P54" s="27">
        <f>1048540.94</f>
        <v>1048540.94</v>
      </c>
      <c r="Q54" s="27">
        <f>1055962.6</f>
        <v>1055962.6000000001</v>
      </c>
      <c r="R54" s="27">
        <f>1238692.6</f>
        <v>1238692.6000000001</v>
      </c>
      <c r="S54" s="27">
        <f>1252448.6</f>
        <v>1252448.6000000001</v>
      </c>
      <c r="T54" s="27">
        <f>1278740.6</f>
        <v>1278740.6000000001</v>
      </c>
      <c r="U54" s="27">
        <f>1341594.6</f>
        <v>1341594.6000000001</v>
      </c>
      <c r="V54" s="27">
        <f>1248300.92</f>
        <v>1248300.92</v>
      </c>
      <c r="W54" s="27">
        <f>1297454.03</f>
        <v>1297454.03</v>
      </c>
      <c r="X54" s="27">
        <f>1609885.6</f>
        <v>1609885.6</v>
      </c>
      <c r="Y54" s="27">
        <f>1625228</f>
        <v>1625228</v>
      </c>
      <c r="Z54" s="27">
        <f>1772062</f>
        <v>1772062</v>
      </c>
      <c r="AA54" s="27">
        <f>1960017</f>
        <v>1960017</v>
      </c>
    </row>
    <row r="55" spans="1:27">
      <c r="A55" s="18" t="s">
        <v>25</v>
      </c>
      <c r="B55" s="18" t="s">
        <v>25</v>
      </c>
      <c r="C55" s="14">
        <v>8</v>
      </c>
      <c r="D55" s="38"/>
      <c r="E55" s="59" t="s">
        <v>60</v>
      </c>
      <c r="F55" s="53" t="s">
        <v>25</v>
      </c>
      <c r="G55" s="53" t="s">
        <v>25</v>
      </c>
      <c r="H55" s="53" t="s">
        <v>25</v>
      </c>
      <c r="I55" s="53" t="s">
        <v>25</v>
      </c>
      <c r="J55" s="53" t="s">
        <v>25</v>
      </c>
      <c r="K55" s="30" t="s">
        <v>25</v>
      </c>
      <c r="L55" s="30" t="s">
        <v>25</v>
      </c>
      <c r="M55" s="31" t="s">
        <v>25</v>
      </c>
      <c r="N55" s="32" t="s">
        <v>25</v>
      </c>
      <c r="O55" s="33" t="s">
        <v>25</v>
      </c>
      <c r="P55" s="33" t="s">
        <v>25</v>
      </c>
      <c r="Q55" s="33" t="s">
        <v>25</v>
      </c>
      <c r="R55" s="33" t="s">
        <v>25</v>
      </c>
      <c r="S55" s="33" t="s">
        <v>25</v>
      </c>
      <c r="T55" s="33" t="s">
        <v>25</v>
      </c>
      <c r="U55" s="33" t="s">
        <v>25</v>
      </c>
      <c r="V55" s="33" t="s">
        <v>25</v>
      </c>
      <c r="W55" s="33" t="s">
        <v>25</v>
      </c>
      <c r="X55" s="33" t="s">
        <v>25</v>
      </c>
      <c r="Y55" s="33" t="s">
        <v>25</v>
      </c>
      <c r="Z55" s="33" t="s">
        <v>25</v>
      </c>
      <c r="AA55" s="33" t="s">
        <v>25</v>
      </c>
    </row>
    <row r="56" spans="1:27" ht="34.5" outlineLevel="1">
      <c r="A56" s="18" t="s">
        <v>25</v>
      </c>
      <c r="B56" s="18" t="s">
        <v>25</v>
      </c>
      <c r="C56" s="21" t="s">
        <v>58</v>
      </c>
      <c r="D56" s="38" t="s">
        <v>296</v>
      </c>
      <c r="E56" s="87" t="s">
        <v>260</v>
      </c>
      <c r="F56" s="53" t="s">
        <v>25</v>
      </c>
      <c r="G56" s="53" t="s">
        <v>25</v>
      </c>
      <c r="H56" s="53" t="s">
        <v>25</v>
      </c>
      <c r="I56" s="53" t="s">
        <v>25</v>
      </c>
      <c r="J56" s="53" t="s">
        <v>25</v>
      </c>
      <c r="K56" s="30" t="s">
        <v>25</v>
      </c>
      <c r="L56" s="30" t="s">
        <v>25</v>
      </c>
      <c r="M56" s="31" t="s">
        <v>25</v>
      </c>
      <c r="N56" s="34">
        <f>0.0195</f>
        <v>1.95E-2</v>
      </c>
      <c r="O56" s="35">
        <f>0.0222</f>
        <v>2.2200000000000001E-2</v>
      </c>
      <c r="P56" s="35">
        <f>0.0211</f>
        <v>2.1100000000000001E-2</v>
      </c>
      <c r="Q56" s="35">
        <f>0.0159</f>
        <v>1.5900000000000001E-2</v>
      </c>
      <c r="R56" s="35">
        <f>0.0129</f>
        <v>1.29E-2</v>
      </c>
      <c r="S56" s="35">
        <f>0.0056</f>
        <v>5.5999999999999999E-3</v>
      </c>
      <c r="T56" s="35">
        <f>0.0051</f>
        <v>5.1000000000000004E-3</v>
      </c>
      <c r="U56" s="35">
        <f>0.0046</f>
        <v>4.5999999999999999E-3</v>
      </c>
      <c r="V56" s="35">
        <f>0.0041</f>
        <v>4.1000000000000003E-3</v>
      </c>
      <c r="W56" s="35">
        <f>0.0067</f>
        <v>6.7000000000000002E-3</v>
      </c>
      <c r="X56" s="35">
        <f>0.0036</f>
        <v>3.5999999999999999E-3</v>
      </c>
      <c r="Y56" s="35">
        <f t="shared" ref="Y56:Z58" si="7">0.0014</f>
        <v>1.4E-3</v>
      </c>
      <c r="Z56" s="35">
        <f t="shared" si="7"/>
        <v>1.4E-3</v>
      </c>
      <c r="AA56" s="35">
        <f>0.0012</f>
        <v>1.1999999999999999E-3</v>
      </c>
    </row>
    <row r="57" spans="1:27" outlineLevel="5">
      <c r="A57" s="18" t="s">
        <v>25</v>
      </c>
      <c r="C57" s="21" t="s">
        <v>205</v>
      </c>
      <c r="D57" s="38" t="s">
        <v>342</v>
      </c>
      <c r="E57" s="57" t="s">
        <v>205</v>
      </c>
      <c r="F57" s="53" t="s">
        <v>25</v>
      </c>
      <c r="G57" s="53" t="s">
        <v>25</v>
      </c>
      <c r="H57" s="53" t="s">
        <v>25</v>
      </c>
      <c r="I57" s="53" t="s">
        <v>25</v>
      </c>
      <c r="J57" s="53" t="s">
        <v>25</v>
      </c>
      <c r="K57" s="30" t="s">
        <v>25</v>
      </c>
      <c r="L57" s="30" t="s">
        <v>25</v>
      </c>
      <c r="M57" s="31" t="s">
        <v>25</v>
      </c>
      <c r="N57" s="34">
        <f>0.0195</f>
        <v>1.95E-2</v>
      </c>
      <c r="O57" s="35">
        <f>0.0222</f>
        <v>2.2200000000000001E-2</v>
      </c>
      <c r="P57" s="35">
        <f>0.0211</f>
        <v>2.1100000000000001E-2</v>
      </c>
      <c r="Q57" s="35">
        <f>0.0159</f>
        <v>1.5900000000000001E-2</v>
      </c>
      <c r="R57" s="35">
        <f>0.0129</f>
        <v>1.29E-2</v>
      </c>
      <c r="S57" s="35">
        <f>0.0056</f>
        <v>5.5999999999999999E-3</v>
      </c>
      <c r="T57" s="35">
        <f>0.0051</f>
        <v>5.1000000000000004E-3</v>
      </c>
      <c r="U57" s="35">
        <f>0.0046</f>
        <v>4.5999999999999999E-3</v>
      </c>
      <c r="V57" s="35">
        <f>0.0041</f>
        <v>4.1000000000000003E-3</v>
      </c>
      <c r="W57" s="35">
        <f>0.0067</f>
        <v>6.7000000000000002E-3</v>
      </c>
      <c r="X57" s="35">
        <f>0.0036</f>
        <v>3.5999999999999999E-3</v>
      </c>
      <c r="Y57" s="35">
        <f t="shared" si="7"/>
        <v>1.4E-3</v>
      </c>
      <c r="Z57" s="35">
        <f t="shared" si="7"/>
        <v>1.4E-3</v>
      </c>
      <c r="AA57" s="35">
        <f>0.0012</f>
        <v>1.1999999999999999E-3</v>
      </c>
    </row>
    <row r="58" spans="1:27" outlineLevel="5">
      <c r="A58" s="18" t="s">
        <v>25</v>
      </c>
      <c r="C58" s="21" t="s">
        <v>206</v>
      </c>
      <c r="D58" s="38" t="s">
        <v>342</v>
      </c>
      <c r="E58" s="57" t="s">
        <v>206</v>
      </c>
      <c r="F58" s="53" t="s">
        <v>25</v>
      </c>
      <c r="G58" s="53" t="s">
        <v>25</v>
      </c>
      <c r="H58" s="53" t="s">
        <v>25</v>
      </c>
      <c r="I58" s="53" t="s">
        <v>25</v>
      </c>
      <c r="J58" s="53" t="s">
        <v>25</v>
      </c>
      <c r="K58" s="30" t="s">
        <v>25</v>
      </c>
      <c r="L58" s="30" t="s">
        <v>25</v>
      </c>
      <c r="M58" s="31" t="s">
        <v>25</v>
      </c>
      <c r="N58" s="34">
        <f>0.0195</f>
        <v>1.95E-2</v>
      </c>
      <c r="O58" s="35">
        <f>0.0222</f>
        <v>2.2200000000000001E-2</v>
      </c>
      <c r="P58" s="35">
        <f>0.0211</f>
        <v>2.1100000000000001E-2</v>
      </c>
      <c r="Q58" s="35">
        <f>0.0159</f>
        <v>1.5900000000000001E-2</v>
      </c>
      <c r="R58" s="35">
        <f>0.0129</f>
        <v>1.29E-2</v>
      </c>
      <c r="S58" s="35">
        <f>0.0056</f>
        <v>5.5999999999999999E-3</v>
      </c>
      <c r="T58" s="35">
        <f>0.0051</f>
        <v>5.1000000000000004E-3</v>
      </c>
      <c r="U58" s="35">
        <f>0.0046</f>
        <v>4.5999999999999999E-3</v>
      </c>
      <c r="V58" s="35">
        <f>0.0041</f>
        <v>4.1000000000000003E-3</v>
      </c>
      <c r="W58" s="35">
        <f>0.0067</f>
        <v>6.7000000000000002E-3</v>
      </c>
      <c r="X58" s="35">
        <f>0.0036</f>
        <v>3.5999999999999999E-3</v>
      </c>
      <c r="Y58" s="35">
        <f t="shared" si="7"/>
        <v>1.4E-3</v>
      </c>
      <c r="Z58" s="35">
        <f t="shared" si="7"/>
        <v>1.4E-3</v>
      </c>
      <c r="AA58" s="35">
        <f>0.0012</f>
        <v>1.1999999999999999E-3</v>
      </c>
    </row>
    <row r="59" spans="1:27" outlineLevel="5">
      <c r="A59" s="18" t="s">
        <v>25</v>
      </c>
      <c r="C59" s="21" t="s">
        <v>386</v>
      </c>
      <c r="D59" s="38" t="s">
        <v>429</v>
      </c>
      <c r="E59" s="57" t="s">
        <v>386</v>
      </c>
      <c r="F59" s="53" t="s">
        <v>25</v>
      </c>
      <c r="G59" s="53" t="s">
        <v>25</v>
      </c>
      <c r="H59" s="53" t="s">
        <v>25</v>
      </c>
      <c r="I59" s="53" t="s">
        <v>25</v>
      </c>
      <c r="J59" s="53" t="s">
        <v>25</v>
      </c>
      <c r="K59" s="30" t="s">
        <v>25</v>
      </c>
      <c r="L59" s="30" t="s">
        <v>25</v>
      </c>
      <c r="M59" s="31" t="s">
        <v>25</v>
      </c>
      <c r="N59" s="34">
        <f>0.0195</f>
        <v>1.95E-2</v>
      </c>
      <c r="O59" s="35">
        <f>0.0222</f>
        <v>2.2200000000000001E-2</v>
      </c>
      <c r="P59" s="35">
        <f>0.0211</f>
        <v>2.1100000000000001E-2</v>
      </c>
      <c r="Q59" s="35">
        <f>0.0159</f>
        <v>1.5900000000000001E-2</v>
      </c>
      <c r="R59" s="35">
        <f>0.0129</f>
        <v>1.29E-2</v>
      </c>
      <c r="S59" s="35">
        <f>0</f>
        <v>0</v>
      </c>
      <c r="T59" s="35">
        <f>0</f>
        <v>0</v>
      </c>
      <c r="U59" s="35">
        <f>0</f>
        <v>0</v>
      </c>
      <c r="V59" s="35">
        <f>0</f>
        <v>0</v>
      </c>
      <c r="W59" s="35">
        <f>0</f>
        <v>0</v>
      </c>
      <c r="X59" s="35">
        <f>0</f>
        <v>0</v>
      </c>
      <c r="Y59" s="35">
        <f>0</f>
        <v>0</v>
      </c>
      <c r="Z59" s="35">
        <f>0</f>
        <v>0</v>
      </c>
      <c r="AA59" s="35">
        <f>0</f>
        <v>0</v>
      </c>
    </row>
    <row r="60" spans="1:27" ht="23" outlineLevel="1">
      <c r="A60" s="18" t="s">
        <v>25</v>
      </c>
      <c r="B60" s="18" t="s">
        <v>25</v>
      </c>
      <c r="C60" s="21" t="s">
        <v>59</v>
      </c>
      <c r="D60" s="38"/>
      <c r="E60" s="87" t="s">
        <v>308</v>
      </c>
      <c r="F60" s="54">
        <f>0.2332</f>
        <v>0.23319999999999999</v>
      </c>
      <c r="G60" s="54">
        <f>0.0797</f>
        <v>7.9699999999999993E-2</v>
      </c>
      <c r="H60" s="54">
        <f>0.1774</f>
        <v>0.1774</v>
      </c>
      <c r="I60" s="54">
        <f>0.2178</f>
        <v>0.21779999999999999</v>
      </c>
      <c r="J60" s="54">
        <f>0.2774</f>
        <v>0.27739999999999998</v>
      </c>
      <c r="K60" s="36">
        <f>0.2949</f>
        <v>0.2949</v>
      </c>
      <c r="L60" s="36">
        <f>-0.0054</f>
        <v>-5.4000000000000003E-3</v>
      </c>
      <c r="M60" s="37">
        <f>0.1204</f>
        <v>0.12039999999999999</v>
      </c>
      <c r="N60" s="34">
        <f>0.0166</f>
        <v>1.66E-2</v>
      </c>
      <c r="O60" s="35">
        <f>0.1821</f>
        <v>0.18210000000000001</v>
      </c>
      <c r="P60" s="35">
        <f>0.0711</f>
        <v>7.1099999999999997E-2</v>
      </c>
      <c r="Q60" s="35">
        <f>0.0241</f>
        <v>2.41E-2</v>
      </c>
      <c r="R60" s="35">
        <f>0.0264</f>
        <v>2.64E-2</v>
      </c>
      <c r="S60" s="35">
        <f>0.0257</f>
        <v>2.5700000000000001E-2</v>
      </c>
      <c r="T60" s="35">
        <f>0.0252</f>
        <v>2.52E-2</v>
      </c>
      <c r="U60" s="35">
        <f>0.0253</f>
        <v>2.53E-2</v>
      </c>
      <c r="V60" s="35">
        <f>0.0227</f>
        <v>2.2700000000000001E-2</v>
      </c>
      <c r="W60" s="35">
        <f>0.0228</f>
        <v>2.2800000000000001E-2</v>
      </c>
      <c r="X60" s="35">
        <f>0.0274</f>
        <v>2.7400000000000001E-2</v>
      </c>
      <c r="Y60" s="35">
        <f>0.0269</f>
        <v>2.69E-2</v>
      </c>
      <c r="Z60" s="35">
        <f>0.0286</f>
        <v>2.86E-2</v>
      </c>
      <c r="AA60" s="35">
        <f>0.0307</f>
        <v>3.0700000000000002E-2</v>
      </c>
    </row>
    <row r="61" spans="1:27" outlineLevel="5">
      <c r="A61" s="18" t="s">
        <v>25</v>
      </c>
      <c r="C61" s="21" t="s">
        <v>207</v>
      </c>
      <c r="D61" s="38" t="s">
        <v>431</v>
      </c>
      <c r="E61" s="57" t="s">
        <v>207</v>
      </c>
      <c r="F61" s="54">
        <f>0.2332</f>
        <v>0.23319999999999999</v>
      </c>
      <c r="G61" s="54">
        <f>0.0797</f>
        <v>7.9699999999999993E-2</v>
      </c>
      <c r="H61" s="54">
        <f>0.1774</f>
        <v>0.1774</v>
      </c>
      <c r="I61" s="54">
        <f>0.2178</f>
        <v>0.21779999999999999</v>
      </c>
      <c r="J61" s="54">
        <f>0.2774</f>
        <v>0.27739999999999998</v>
      </c>
      <c r="K61" s="36">
        <f>0.2949</f>
        <v>0.2949</v>
      </c>
      <c r="L61" s="36">
        <f>-0.0054</f>
        <v>-5.4000000000000003E-3</v>
      </c>
      <c r="M61" s="37">
        <f>0.1204</f>
        <v>0.12039999999999999</v>
      </c>
      <c r="N61" s="34">
        <f>0</f>
        <v>0</v>
      </c>
      <c r="O61" s="35">
        <f>0</f>
        <v>0</v>
      </c>
      <c r="P61" s="35">
        <f>0</f>
        <v>0</v>
      </c>
      <c r="Q61" s="35">
        <f>0</f>
        <v>0</v>
      </c>
      <c r="R61" s="35">
        <f>0</f>
        <v>0</v>
      </c>
      <c r="S61" s="35">
        <f>0</f>
        <v>0</v>
      </c>
      <c r="T61" s="35">
        <f>0</f>
        <v>0</v>
      </c>
      <c r="U61" s="35">
        <f>0</f>
        <v>0</v>
      </c>
      <c r="V61" s="35">
        <f>0</f>
        <v>0</v>
      </c>
      <c r="W61" s="35">
        <f>0</f>
        <v>0</v>
      </c>
      <c r="X61" s="35">
        <f>0</f>
        <v>0</v>
      </c>
      <c r="Y61" s="35">
        <f>0</f>
        <v>0</v>
      </c>
      <c r="Z61" s="35">
        <f>0</f>
        <v>0</v>
      </c>
      <c r="AA61" s="35">
        <f>0</f>
        <v>0</v>
      </c>
    </row>
    <row r="62" spans="1:27" outlineLevel="5">
      <c r="A62" s="18" t="s">
        <v>25</v>
      </c>
      <c r="C62" s="21" t="s">
        <v>208</v>
      </c>
      <c r="D62" s="38" t="s">
        <v>432</v>
      </c>
      <c r="E62" s="57" t="s">
        <v>208</v>
      </c>
      <c r="F62" s="54">
        <f>0.1858</f>
        <v>0.18579999999999999</v>
      </c>
      <c r="G62" s="54">
        <f>0.0456</f>
        <v>4.5600000000000002E-2</v>
      </c>
      <c r="H62" s="54">
        <f>0.1394</f>
        <v>0.1394</v>
      </c>
      <c r="I62" s="54">
        <f>0.1628</f>
        <v>0.1628</v>
      </c>
      <c r="J62" s="54">
        <f>0.1615</f>
        <v>0.1615</v>
      </c>
      <c r="K62" s="36">
        <f>0.0742</f>
        <v>7.4200000000000002E-2</v>
      </c>
      <c r="L62" s="36">
        <f>-0.0981</f>
        <v>-9.8100000000000007E-2</v>
      </c>
      <c r="M62" s="37">
        <f>0.0877</f>
        <v>8.77E-2</v>
      </c>
      <c r="N62" s="34">
        <f>0.0166</f>
        <v>1.66E-2</v>
      </c>
      <c r="O62" s="35">
        <f>0.1821</f>
        <v>0.18210000000000001</v>
      </c>
      <c r="P62" s="35">
        <f>0.0711</f>
        <v>7.1099999999999997E-2</v>
      </c>
      <c r="Q62" s="35">
        <f>0.0241</f>
        <v>2.41E-2</v>
      </c>
      <c r="R62" s="35">
        <f>0.0264</f>
        <v>2.64E-2</v>
      </c>
      <c r="S62" s="35">
        <f>0.0257</f>
        <v>2.5700000000000001E-2</v>
      </c>
      <c r="T62" s="35">
        <f>0.0252</f>
        <v>2.52E-2</v>
      </c>
      <c r="U62" s="35">
        <f>0.0253</f>
        <v>2.53E-2</v>
      </c>
      <c r="V62" s="35">
        <f>0.0227</f>
        <v>2.2700000000000001E-2</v>
      </c>
      <c r="W62" s="35">
        <f>0.0228</f>
        <v>2.2800000000000001E-2</v>
      </c>
      <c r="X62" s="35">
        <f>0.0274</f>
        <v>2.7400000000000001E-2</v>
      </c>
      <c r="Y62" s="35">
        <f>0.0269</f>
        <v>2.69E-2</v>
      </c>
      <c r="Z62" s="35">
        <f>0.0286</f>
        <v>2.86E-2</v>
      </c>
      <c r="AA62" s="35">
        <f>0.0307</f>
        <v>3.0700000000000002E-2</v>
      </c>
    </row>
    <row r="63" spans="1:27" ht="46" outlineLevel="1">
      <c r="A63" s="18" t="s">
        <v>25</v>
      </c>
      <c r="B63" s="18" t="s">
        <v>25</v>
      </c>
      <c r="C63" s="21" t="s">
        <v>231</v>
      </c>
      <c r="D63" s="38" t="s">
        <v>297</v>
      </c>
      <c r="E63" s="87" t="s">
        <v>261</v>
      </c>
      <c r="F63" s="53" t="s">
        <v>25</v>
      </c>
      <c r="G63" s="53" t="s">
        <v>25</v>
      </c>
      <c r="H63" s="53" t="s">
        <v>25</v>
      </c>
      <c r="I63" s="53" t="s">
        <v>25</v>
      </c>
      <c r="J63" s="53" t="s">
        <v>25</v>
      </c>
      <c r="K63" s="30" t="s">
        <v>25</v>
      </c>
      <c r="L63" s="30" t="s">
        <v>25</v>
      </c>
      <c r="M63" s="31" t="s">
        <v>25</v>
      </c>
      <c r="N63" s="34">
        <f>0.1821</f>
        <v>0.18210000000000001</v>
      </c>
      <c r="O63" s="35">
        <f>0.1512</f>
        <v>0.1512</v>
      </c>
      <c r="P63" s="35">
        <f>0.1658</f>
        <v>0.1658</v>
      </c>
      <c r="Q63" s="35">
        <f>0.1506</f>
        <v>0.15060000000000001</v>
      </c>
      <c r="R63" s="35">
        <f>0.123</f>
        <v>0.123</v>
      </c>
      <c r="S63" s="35">
        <f>0.0871</f>
        <v>8.7099999999999997E-2</v>
      </c>
      <c r="T63" s="35">
        <f>0.0487</f>
        <v>4.87E-2</v>
      </c>
      <c r="U63" s="35">
        <f>0.053</f>
        <v>5.2999999999999999E-2</v>
      </c>
      <c r="V63" s="35">
        <f>0.0543</f>
        <v>5.4300000000000001E-2</v>
      </c>
      <c r="W63" s="35">
        <f>0.0315</f>
        <v>3.15E-2</v>
      </c>
      <c r="X63" s="35">
        <f>0.0246</f>
        <v>2.46E-2</v>
      </c>
      <c r="Y63" s="35">
        <f>0.0251</f>
        <v>2.5100000000000001E-2</v>
      </c>
      <c r="Z63" s="35">
        <f>0.0251</f>
        <v>2.5100000000000001E-2</v>
      </c>
      <c r="AA63" s="35">
        <f>0.0256</f>
        <v>2.5600000000000001E-2</v>
      </c>
    </row>
    <row r="64" spans="1:27" ht="46" outlineLevel="2">
      <c r="A64" s="18" t="s">
        <v>25</v>
      </c>
      <c r="B64" s="18" t="s">
        <v>25</v>
      </c>
      <c r="C64" s="21" t="s">
        <v>209</v>
      </c>
      <c r="D64" s="38" t="s">
        <v>298</v>
      </c>
      <c r="E64" s="57" t="s">
        <v>262</v>
      </c>
      <c r="F64" s="53" t="s">
        <v>25</v>
      </c>
      <c r="G64" s="53" t="s">
        <v>25</v>
      </c>
      <c r="H64" s="53" t="s">
        <v>25</v>
      </c>
      <c r="I64" s="53" t="s">
        <v>25</v>
      </c>
      <c r="J64" s="53" t="s">
        <v>25</v>
      </c>
      <c r="K64" s="30" t="s">
        <v>25</v>
      </c>
      <c r="L64" s="30" t="s">
        <v>25</v>
      </c>
      <c r="M64" s="31" t="s">
        <v>25</v>
      </c>
      <c r="N64" s="34">
        <f>0.2001</f>
        <v>0.2001</v>
      </c>
      <c r="O64" s="35">
        <f>0.1692</f>
        <v>0.16919999999999999</v>
      </c>
      <c r="P64" s="35">
        <f>0.1838</f>
        <v>0.18379999999999999</v>
      </c>
      <c r="Q64" s="35">
        <f>0.1686</f>
        <v>0.1686</v>
      </c>
      <c r="R64" s="35">
        <f>0.1409</f>
        <v>0.1409</v>
      </c>
      <c r="S64" s="35">
        <f>0.1051</f>
        <v>0.1051</v>
      </c>
      <c r="T64" s="35">
        <f>0.0666</f>
        <v>6.6600000000000006E-2</v>
      </c>
      <c r="U64" s="35">
        <f>0.053</f>
        <v>5.2999999999999999E-2</v>
      </c>
      <c r="V64" s="35">
        <f>0.0543</f>
        <v>5.4300000000000001E-2</v>
      </c>
      <c r="W64" s="35">
        <f>0.0315</f>
        <v>3.15E-2</v>
      </c>
      <c r="X64" s="35">
        <f>0.0246</f>
        <v>2.46E-2</v>
      </c>
      <c r="Y64" s="35">
        <f>0.0251</f>
        <v>2.5100000000000001E-2</v>
      </c>
      <c r="Z64" s="35">
        <f>0.0251</f>
        <v>2.5100000000000001E-2</v>
      </c>
      <c r="AA64" s="35">
        <f>0.0256</f>
        <v>2.5600000000000001E-2</v>
      </c>
    </row>
    <row r="65" spans="1:27" ht="34.5" outlineLevel="1">
      <c r="A65" s="18" t="s">
        <v>25</v>
      </c>
      <c r="B65" s="18" t="s">
        <v>25</v>
      </c>
      <c r="C65" s="21" t="s">
        <v>232</v>
      </c>
      <c r="D65" s="38"/>
      <c r="E65" s="87" t="s">
        <v>107</v>
      </c>
      <c r="F65" s="53" t="s">
        <v>25</v>
      </c>
      <c r="G65" s="53" t="s">
        <v>25</v>
      </c>
      <c r="H65" s="53" t="s">
        <v>25</v>
      </c>
      <c r="I65" s="53" t="s">
        <v>25</v>
      </c>
      <c r="J65" s="53" t="s">
        <v>25</v>
      </c>
      <c r="K65" s="30" t="s">
        <v>25</v>
      </c>
      <c r="L65" s="30" t="s">
        <v>25</v>
      </c>
      <c r="M65" s="31" t="s">
        <v>25</v>
      </c>
      <c r="N65" s="75" t="str">
        <f t="shared" ref="N65:AA65" si="8">IF(N56&lt;=N63,"Spełniona","Nie spełniona")</f>
        <v>Spełniona</v>
      </c>
      <c r="O65" s="76" t="str">
        <f t="shared" si="8"/>
        <v>Spełniona</v>
      </c>
      <c r="P65" s="76" t="str">
        <f t="shared" si="8"/>
        <v>Spełniona</v>
      </c>
      <c r="Q65" s="76" t="str">
        <f t="shared" si="8"/>
        <v>Spełniona</v>
      </c>
      <c r="R65" s="76" t="str">
        <f t="shared" si="8"/>
        <v>Spełniona</v>
      </c>
      <c r="S65" s="76" t="str">
        <f t="shared" si="8"/>
        <v>Spełniona</v>
      </c>
      <c r="T65" s="76" t="str">
        <f t="shared" si="8"/>
        <v>Spełniona</v>
      </c>
      <c r="U65" s="76" t="str">
        <f t="shared" si="8"/>
        <v>Spełniona</v>
      </c>
      <c r="V65" s="76" t="str">
        <f t="shared" si="8"/>
        <v>Spełniona</v>
      </c>
      <c r="W65" s="76" t="str">
        <f t="shared" si="8"/>
        <v>Spełniona</v>
      </c>
      <c r="X65" s="76" t="str">
        <f t="shared" si="8"/>
        <v>Spełniona</v>
      </c>
      <c r="Y65" s="76" t="str">
        <f t="shared" si="8"/>
        <v>Spełniona</v>
      </c>
      <c r="Z65" s="76" t="str">
        <f t="shared" si="8"/>
        <v>Spełniona</v>
      </c>
      <c r="AA65" s="76" t="str">
        <f t="shared" si="8"/>
        <v>Spełniona</v>
      </c>
    </row>
    <row r="66" spans="1:27" ht="34.5" outlineLevel="2">
      <c r="A66" s="18" t="s">
        <v>25</v>
      </c>
      <c r="B66" s="18" t="s">
        <v>25</v>
      </c>
      <c r="C66" s="21" t="s">
        <v>210</v>
      </c>
      <c r="D66" s="38"/>
      <c r="E66" s="57" t="s">
        <v>105</v>
      </c>
      <c r="F66" s="53" t="s">
        <v>25</v>
      </c>
      <c r="G66" s="53" t="s">
        <v>25</v>
      </c>
      <c r="H66" s="53" t="s">
        <v>25</v>
      </c>
      <c r="I66" s="53" t="s">
        <v>25</v>
      </c>
      <c r="J66" s="53" t="s">
        <v>25</v>
      </c>
      <c r="K66" s="30" t="s">
        <v>25</v>
      </c>
      <c r="L66" s="30" t="s">
        <v>25</v>
      </c>
      <c r="M66" s="31" t="s">
        <v>25</v>
      </c>
      <c r="N66" s="75" t="str">
        <f t="shared" ref="N66:AA66" si="9">IF(N56&lt;=N64,"Spełniona","Nie spełniona")</f>
        <v>Spełniona</v>
      </c>
      <c r="O66" s="76" t="str">
        <f t="shared" si="9"/>
        <v>Spełniona</v>
      </c>
      <c r="P66" s="76" t="str">
        <f t="shared" si="9"/>
        <v>Spełniona</v>
      </c>
      <c r="Q66" s="76" t="str">
        <f t="shared" si="9"/>
        <v>Spełniona</v>
      </c>
      <c r="R66" s="76" t="str">
        <f t="shared" si="9"/>
        <v>Spełniona</v>
      </c>
      <c r="S66" s="76" t="str">
        <f t="shared" si="9"/>
        <v>Spełniona</v>
      </c>
      <c r="T66" s="76" t="str">
        <f t="shared" si="9"/>
        <v>Spełniona</v>
      </c>
      <c r="U66" s="76" t="str">
        <f t="shared" si="9"/>
        <v>Spełniona</v>
      </c>
      <c r="V66" s="76" t="str">
        <f t="shared" si="9"/>
        <v>Spełniona</v>
      </c>
      <c r="W66" s="76" t="str">
        <f t="shared" si="9"/>
        <v>Spełniona</v>
      </c>
      <c r="X66" s="76" t="str">
        <f t="shared" si="9"/>
        <v>Spełniona</v>
      </c>
      <c r="Y66" s="76" t="str">
        <f t="shared" si="9"/>
        <v>Spełniona</v>
      </c>
      <c r="Z66" s="76" t="str">
        <f t="shared" si="9"/>
        <v>Spełniona</v>
      </c>
      <c r="AA66" s="76" t="str">
        <f t="shared" si="9"/>
        <v>Spełniona</v>
      </c>
    </row>
    <row r="67" spans="1:27" outlineLevel="3">
      <c r="C67" s="21" t="s">
        <v>322</v>
      </c>
      <c r="D67" s="38" t="s">
        <v>335</v>
      </c>
      <c r="E67" s="87" t="s">
        <v>336</v>
      </c>
      <c r="F67" s="53" t="s">
        <v>25</v>
      </c>
      <c r="G67" s="53" t="s">
        <v>25</v>
      </c>
      <c r="H67" s="53" t="s">
        <v>25</v>
      </c>
      <c r="I67" s="53" t="s">
        <v>25</v>
      </c>
      <c r="J67" s="53" t="s">
        <v>25</v>
      </c>
      <c r="K67" s="30" t="s">
        <v>25</v>
      </c>
      <c r="L67" s="30" t="s">
        <v>25</v>
      </c>
      <c r="M67" s="31" t="s">
        <v>25</v>
      </c>
      <c r="N67" s="34">
        <f>0</f>
        <v>0</v>
      </c>
      <c r="O67" s="35">
        <f>0</f>
        <v>0</v>
      </c>
      <c r="P67" s="35">
        <f>0</f>
        <v>0</v>
      </c>
      <c r="Q67" s="35">
        <f>0</f>
        <v>0</v>
      </c>
      <c r="R67" s="35">
        <f>0</f>
        <v>0</v>
      </c>
      <c r="S67" s="35">
        <f>0</f>
        <v>0</v>
      </c>
      <c r="T67" s="35">
        <f>0</f>
        <v>0</v>
      </c>
      <c r="U67" s="35">
        <f>0</f>
        <v>0</v>
      </c>
      <c r="V67" s="35">
        <f>0</f>
        <v>0</v>
      </c>
      <c r="W67" s="35">
        <f>0</f>
        <v>0</v>
      </c>
      <c r="X67" s="35">
        <f>0</f>
        <v>0</v>
      </c>
      <c r="Y67" s="35">
        <f>0</f>
        <v>0</v>
      </c>
      <c r="Z67" s="35">
        <f>0</f>
        <v>0</v>
      </c>
      <c r="AA67" s="35">
        <f>0</f>
        <v>0</v>
      </c>
    </row>
    <row r="68" spans="1:27" ht="34.5" outlineLevel="3">
      <c r="C68" s="21" t="s">
        <v>323</v>
      </c>
      <c r="D68" s="38" t="s">
        <v>344</v>
      </c>
      <c r="E68" s="87" t="s">
        <v>337</v>
      </c>
      <c r="F68" s="53" t="s">
        <v>25</v>
      </c>
      <c r="G68" s="53" t="s">
        <v>25</v>
      </c>
      <c r="H68" s="53" t="s">
        <v>25</v>
      </c>
      <c r="I68" s="53" t="s">
        <v>25</v>
      </c>
      <c r="J68" s="53" t="s">
        <v>25</v>
      </c>
      <c r="K68" s="30" t="s">
        <v>25</v>
      </c>
      <c r="L68" s="30" t="s">
        <v>25</v>
      </c>
      <c r="M68" s="31" t="s">
        <v>25</v>
      </c>
      <c r="N68" s="34">
        <f>0</f>
        <v>0</v>
      </c>
      <c r="O68" s="35">
        <f>0</f>
        <v>0</v>
      </c>
      <c r="P68" s="35">
        <f>0</f>
        <v>0</v>
      </c>
      <c r="Q68" s="35">
        <f>0</f>
        <v>0</v>
      </c>
      <c r="R68" s="35">
        <f>0</f>
        <v>0</v>
      </c>
      <c r="S68" s="35">
        <f>0</f>
        <v>0</v>
      </c>
      <c r="T68" s="35">
        <f>0</f>
        <v>0</v>
      </c>
      <c r="U68" s="35">
        <f>0</f>
        <v>0</v>
      </c>
      <c r="V68" s="35">
        <f>0</f>
        <v>0</v>
      </c>
      <c r="W68" s="35">
        <f>0</f>
        <v>0</v>
      </c>
      <c r="X68" s="35">
        <f>0</f>
        <v>0</v>
      </c>
      <c r="Y68" s="35">
        <f>0</f>
        <v>0</v>
      </c>
      <c r="Z68" s="35">
        <f>0</f>
        <v>0</v>
      </c>
      <c r="AA68" s="35">
        <f>0</f>
        <v>0</v>
      </c>
    </row>
    <row r="69" spans="1:27" ht="46" outlineLevel="3">
      <c r="C69" s="21" t="s">
        <v>324</v>
      </c>
      <c r="D69" s="38"/>
      <c r="E69" s="87" t="s">
        <v>338</v>
      </c>
      <c r="F69" s="53" t="s">
        <v>25</v>
      </c>
      <c r="G69" s="53" t="s">
        <v>25</v>
      </c>
      <c r="H69" s="53" t="s">
        <v>25</v>
      </c>
      <c r="I69" s="53" t="s">
        <v>25</v>
      </c>
      <c r="J69" s="53" t="s">
        <v>25</v>
      </c>
      <c r="K69" s="30" t="s">
        <v>25</v>
      </c>
      <c r="L69" s="30" t="s">
        <v>25</v>
      </c>
      <c r="M69" s="31" t="s">
        <v>25</v>
      </c>
      <c r="N69" s="75" t="str">
        <f t="shared" ref="N69:AA69" si="10">IF(N$68&lt;=N$63,"Spełniona","Nie spełniona")</f>
        <v>Spełniona</v>
      </c>
      <c r="O69" s="76" t="str">
        <f t="shared" si="10"/>
        <v>Spełniona</v>
      </c>
      <c r="P69" s="76" t="str">
        <f t="shared" si="10"/>
        <v>Spełniona</v>
      </c>
      <c r="Q69" s="76" t="str">
        <f t="shared" si="10"/>
        <v>Spełniona</v>
      </c>
      <c r="R69" s="76" t="str">
        <f t="shared" si="10"/>
        <v>Spełniona</v>
      </c>
      <c r="S69" s="76" t="str">
        <f t="shared" si="10"/>
        <v>Spełniona</v>
      </c>
      <c r="T69" s="76" t="str">
        <f t="shared" si="10"/>
        <v>Spełniona</v>
      </c>
      <c r="U69" s="76" t="str">
        <f t="shared" si="10"/>
        <v>Spełniona</v>
      </c>
      <c r="V69" s="76" t="str">
        <f t="shared" si="10"/>
        <v>Spełniona</v>
      </c>
      <c r="W69" s="76" t="str">
        <f t="shared" si="10"/>
        <v>Spełniona</v>
      </c>
      <c r="X69" s="76" t="str">
        <f t="shared" si="10"/>
        <v>Spełniona</v>
      </c>
      <c r="Y69" s="76" t="str">
        <f t="shared" si="10"/>
        <v>Spełniona</v>
      </c>
      <c r="Z69" s="76" t="str">
        <f t="shared" si="10"/>
        <v>Spełniona</v>
      </c>
      <c r="AA69" s="76" t="str">
        <f t="shared" si="10"/>
        <v>Spełniona</v>
      </c>
    </row>
    <row r="70" spans="1:27" ht="46" outlineLevel="3">
      <c r="C70" s="21" t="s">
        <v>325</v>
      </c>
      <c r="D70" s="38"/>
      <c r="E70" s="57" t="s">
        <v>339</v>
      </c>
      <c r="F70" s="53" t="s">
        <v>25</v>
      </c>
      <c r="G70" s="53" t="s">
        <v>25</v>
      </c>
      <c r="H70" s="53" t="s">
        <v>25</v>
      </c>
      <c r="I70" s="53" t="s">
        <v>25</v>
      </c>
      <c r="J70" s="53" t="s">
        <v>25</v>
      </c>
      <c r="K70" s="30" t="s">
        <v>25</v>
      </c>
      <c r="L70" s="30" t="s">
        <v>25</v>
      </c>
      <c r="M70" s="31" t="s">
        <v>25</v>
      </c>
      <c r="N70" s="75" t="str">
        <f t="shared" ref="N70:AA70" si="11">IF(N$68&lt;=N$64,"Spełniona","Nie spełniona")</f>
        <v>Spełniona</v>
      </c>
      <c r="O70" s="76" t="str">
        <f t="shared" si="11"/>
        <v>Spełniona</v>
      </c>
      <c r="P70" s="76" t="str">
        <f t="shared" si="11"/>
        <v>Spełniona</v>
      </c>
      <c r="Q70" s="76" t="str">
        <f t="shared" si="11"/>
        <v>Spełniona</v>
      </c>
      <c r="R70" s="76" t="str">
        <f t="shared" si="11"/>
        <v>Spełniona</v>
      </c>
      <c r="S70" s="76" t="str">
        <f t="shared" si="11"/>
        <v>Spełniona</v>
      </c>
      <c r="T70" s="76" t="str">
        <f t="shared" si="11"/>
        <v>Spełniona</v>
      </c>
      <c r="U70" s="76" t="str">
        <f t="shared" si="11"/>
        <v>Spełniona</v>
      </c>
      <c r="V70" s="76" t="str">
        <f t="shared" si="11"/>
        <v>Spełniona</v>
      </c>
      <c r="W70" s="76" t="str">
        <f t="shared" si="11"/>
        <v>Spełniona</v>
      </c>
      <c r="X70" s="76" t="str">
        <f t="shared" si="11"/>
        <v>Spełniona</v>
      </c>
      <c r="Y70" s="76" t="str">
        <f t="shared" si="11"/>
        <v>Spełniona</v>
      </c>
      <c r="Z70" s="76" t="str">
        <f t="shared" si="11"/>
        <v>Spełniona</v>
      </c>
      <c r="AA70" s="76" t="str">
        <f t="shared" si="11"/>
        <v>Spełniona</v>
      </c>
    </row>
    <row r="71" spans="1:27" ht="38.25" customHeight="1" outlineLevel="2">
      <c r="C71" s="21" t="s">
        <v>388</v>
      </c>
      <c r="D71" s="38" t="s">
        <v>389</v>
      </c>
      <c r="E71" s="57" t="s">
        <v>427</v>
      </c>
      <c r="F71" s="53" t="s">
        <v>25</v>
      </c>
      <c r="G71" s="53" t="s">
        <v>25</v>
      </c>
      <c r="H71" s="53" t="s">
        <v>25</v>
      </c>
      <c r="I71" s="53" t="s">
        <v>25</v>
      </c>
      <c r="J71" s="53" t="s">
        <v>25</v>
      </c>
      <c r="K71" s="30" t="s">
        <v>25</v>
      </c>
      <c r="L71" s="30" t="s">
        <v>25</v>
      </c>
      <c r="M71" s="31" t="s">
        <v>25</v>
      </c>
      <c r="N71" s="34">
        <f>0.0837</f>
        <v>8.3699999999999997E-2</v>
      </c>
      <c r="O71" s="35">
        <f>0.0686</f>
        <v>6.8599999999999994E-2</v>
      </c>
      <c r="P71" s="35">
        <f>0.0526</f>
        <v>5.2600000000000001E-2</v>
      </c>
      <c r="Q71" s="35">
        <f>0.0382</f>
        <v>3.8199999999999998E-2</v>
      </c>
      <c r="R71" s="35">
        <f>0.0267</f>
        <v>2.6700000000000002E-2</v>
      </c>
      <c r="S71" s="35">
        <f>0</f>
        <v>0</v>
      </c>
      <c r="T71" s="35">
        <f>0</f>
        <v>0</v>
      </c>
      <c r="U71" s="35">
        <f>0</f>
        <v>0</v>
      </c>
      <c r="V71" s="35">
        <f>0</f>
        <v>0</v>
      </c>
      <c r="W71" s="35">
        <f>0</f>
        <v>0</v>
      </c>
      <c r="X71" s="35">
        <f>0</f>
        <v>0</v>
      </c>
      <c r="Y71" s="35">
        <f>0</f>
        <v>0</v>
      </c>
      <c r="Z71" s="35">
        <f>0</f>
        <v>0</v>
      </c>
      <c r="AA71" s="35">
        <f>0</f>
        <v>0</v>
      </c>
    </row>
    <row r="72" spans="1:27" ht="23">
      <c r="C72" s="14">
        <v>9</v>
      </c>
      <c r="D72" s="38"/>
      <c r="E72" s="59" t="s">
        <v>45</v>
      </c>
      <c r="F72" s="53" t="s">
        <v>25</v>
      </c>
      <c r="G72" s="53" t="s">
        <v>25</v>
      </c>
      <c r="H72" s="53" t="s">
        <v>25</v>
      </c>
      <c r="I72" s="53" t="s">
        <v>25</v>
      </c>
      <c r="J72" s="53" t="s">
        <v>25</v>
      </c>
      <c r="K72" s="30" t="s">
        <v>25</v>
      </c>
      <c r="L72" s="30" t="s">
        <v>25</v>
      </c>
      <c r="M72" s="31" t="s">
        <v>25</v>
      </c>
      <c r="N72" s="32" t="s">
        <v>25</v>
      </c>
      <c r="O72" s="33" t="s">
        <v>25</v>
      </c>
      <c r="P72" s="33" t="s">
        <v>25</v>
      </c>
      <c r="Q72" s="33" t="s">
        <v>25</v>
      </c>
      <c r="R72" s="33" t="s">
        <v>25</v>
      </c>
      <c r="S72" s="33" t="s">
        <v>25</v>
      </c>
      <c r="T72" s="33" t="s">
        <v>25</v>
      </c>
      <c r="U72" s="33" t="s">
        <v>25</v>
      </c>
      <c r="V72" s="33" t="s">
        <v>25</v>
      </c>
      <c r="W72" s="33" t="s">
        <v>25</v>
      </c>
      <c r="X72" s="33" t="s">
        <v>25</v>
      </c>
      <c r="Y72" s="33" t="s">
        <v>25</v>
      </c>
      <c r="Z72" s="33" t="s">
        <v>25</v>
      </c>
      <c r="AA72" s="33" t="s">
        <v>25</v>
      </c>
    </row>
    <row r="73" spans="1:27" ht="23" outlineLevel="1">
      <c r="C73" s="21" t="s">
        <v>61</v>
      </c>
      <c r="D73" s="38"/>
      <c r="E73" s="87" t="s">
        <v>263</v>
      </c>
      <c r="F73" s="51">
        <f>0</f>
        <v>0</v>
      </c>
      <c r="G73" s="51">
        <f>468538.13</f>
        <v>468538.13</v>
      </c>
      <c r="H73" s="51">
        <f>771808.47</f>
        <v>771808.47</v>
      </c>
      <c r="I73" s="51">
        <f>391549.65</f>
        <v>391549.65</v>
      </c>
      <c r="J73" s="51">
        <f>557302.26</f>
        <v>557302.26</v>
      </c>
      <c r="K73" s="24">
        <f>278489.4</f>
        <v>278489.40000000002</v>
      </c>
      <c r="L73" s="24">
        <f>1008619.76</f>
        <v>1008619.76</v>
      </c>
      <c r="M73" s="25">
        <f>814399.93</f>
        <v>814399.93</v>
      </c>
      <c r="N73" s="26">
        <f>1340921.4</f>
        <v>1340921.3999999999</v>
      </c>
      <c r="O73" s="27">
        <f>626069.09</f>
        <v>626069.09</v>
      </c>
      <c r="P73" s="27">
        <f>525030.08</f>
        <v>525030.07999999996</v>
      </c>
      <c r="Q73" s="27">
        <f>0</f>
        <v>0</v>
      </c>
      <c r="R73" s="27">
        <f>0</f>
        <v>0</v>
      </c>
      <c r="S73" s="27">
        <f>0</f>
        <v>0</v>
      </c>
      <c r="T73" s="27">
        <f>0</f>
        <v>0</v>
      </c>
      <c r="U73" s="27">
        <f>0</f>
        <v>0</v>
      </c>
      <c r="V73" s="27">
        <f>0</f>
        <v>0</v>
      </c>
      <c r="W73" s="27">
        <f>0</f>
        <v>0</v>
      </c>
      <c r="X73" s="27">
        <f>0</f>
        <v>0</v>
      </c>
      <c r="Y73" s="27">
        <f>0</f>
        <v>0</v>
      </c>
      <c r="Z73" s="27">
        <f>0</f>
        <v>0</v>
      </c>
      <c r="AA73" s="27">
        <f>0</f>
        <v>0</v>
      </c>
    </row>
    <row r="74" spans="1:27" ht="23" outlineLevel="2">
      <c r="A74" s="18" t="s">
        <v>25</v>
      </c>
      <c r="B74" s="18" t="s">
        <v>25</v>
      </c>
      <c r="C74" s="21" t="s">
        <v>211</v>
      </c>
      <c r="D74" s="38"/>
      <c r="E74" s="57" t="s">
        <v>264</v>
      </c>
      <c r="F74" s="51">
        <f>583661.45</f>
        <v>583661.44999999995</v>
      </c>
      <c r="G74" s="51">
        <f>468538.13</f>
        <v>468538.13</v>
      </c>
      <c r="H74" s="51">
        <f>771808.47</f>
        <v>771808.47</v>
      </c>
      <c r="I74" s="51">
        <f>391549.65</f>
        <v>391549.65</v>
      </c>
      <c r="J74" s="51">
        <f>515815.17</f>
        <v>515815.17</v>
      </c>
      <c r="K74" s="24">
        <f>278489.4</f>
        <v>278489.40000000002</v>
      </c>
      <c r="L74" s="24">
        <f>1008619.76</f>
        <v>1008619.76</v>
      </c>
      <c r="M74" s="25">
        <f>813739.82</f>
        <v>813739.82</v>
      </c>
      <c r="N74" s="26">
        <f>1340921.4</f>
        <v>1340921.3999999999</v>
      </c>
      <c r="O74" s="27">
        <f>626069.09</f>
        <v>626069.09</v>
      </c>
      <c r="P74" s="27">
        <f>525030.08</f>
        <v>525030.07999999996</v>
      </c>
      <c r="Q74" s="27">
        <f>0</f>
        <v>0</v>
      </c>
      <c r="R74" s="27">
        <f>0</f>
        <v>0</v>
      </c>
      <c r="S74" s="27">
        <f>0</f>
        <v>0</v>
      </c>
      <c r="T74" s="27">
        <f>0</f>
        <v>0</v>
      </c>
      <c r="U74" s="27">
        <f>0</f>
        <v>0</v>
      </c>
      <c r="V74" s="27">
        <f>0</f>
        <v>0</v>
      </c>
      <c r="W74" s="27">
        <f>0</f>
        <v>0</v>
      </c>
      <c r="X74" s="27">
        <f>0</f>
        <v>0</v>
      </c>
      <c r="Y74" s="27">
        <f>0</f>
        <v>0</v>
      </c>
      <c r="Z74" s="27">
        <f>0</f>
        <v>0</v>
      </c>
      <c r="AA74" s="27">
        <f>0</f>
        <v>0</v>
      </c>
    </row>
    <row r="75" spans="1:27" outlineLevel="3">
      <c r="C75" s="21" t="s">
        <v>212</v>
      </c>
      <c r="D75" s="38"/>
      <c r="E75" s="89" t="s">
        <v>265</v>
      </c>
      <c r="F75" s="51">
        <f>0</f>
        <v>0</v>
      </c>
      <c r="G75" s="51">
        <f>460342.67</f>
        <v>460342.67</v>
      </c>
      <c r="H75" s="51">
        <f>716391.41</f>
        <v>716391.41</v>
      </c>
      <c r="I75" s="51">
        <f>355481.03</f>
        <v>355481.03</v>
      </c>
      <c r="J75" s="51">
        <f>484219.62</f>
        <v>484219.62</v>
      </c>
      <c r="K75" s="24">
        <f>263197.06</f>
        <v>263197.06</v>
      </c>
      <c r="L75" s="24">
        <f>954372.94</f>
        <v>954372.94</v>
      </c>
      <c r="M75" s="25">
        <f>767327.18</f>
        <v>767327.18</v>
      </c>
      <c r="N75" s="26">
        <f>1266184.59</f>
        <v>1266184.5900000001</v>
      </c>
      <c r="O75" s="27">
        <f>555209.39</f>
        <v>555209.39</v>
      </c>
      <c r="P75" s="27">
        <f>471126.54</f>
        <v>471126.54</v>
      </c>
      <c r="Q75" s="27">
        <f>0</f>
        <v>0</v>
      </c>
      <c r="R75" s="27">
        <f>0</f>
        <v>0</v>
      </c>
      <c r="S75" s="27">
        <f>0</f>
        <v>0</v>
      </c>
      <c r="T75" s="27">
        <f>0</f>
        <v>0</v>
      </c>
      <c r="U75" s="27">
        <f>0</f>
        <v>0</v>
      </c>
      <c r="V75" s="27">
        <f>0</f>
        <v>0</v>
      </c>
      <c r="W75" s="27">
        <f>0</f>
        <v>0</v>
      </c>
      <c r="X75" s="27">
        <f>0</f>
        <v>0</v>
      </c>
      <c r="Y75" s="27">
        <f>0</f>
        <v>0</v>
      </c>
      <c r="Z75" s="27">
        <f>0</f>
        <v>0</v>
      </c>
      <c r="AA75" s="27">
        <f>0</f>
        <v>0</v>
      </c>
    </row>
    <row r="76" spans="1:27" ht="23" outlineLevel="1">
      <c r="C76" s="21" t="s">
        <v>62</v>
      </c>
      <c r="D76" s="38"/>
      <c r="E76" s="87" t="s">
        <v>266</v>
      </c>
      <c r="F76" s="51">
        <f>0</f>
        <v>0</v>
      </c>
      <c r="G76" s="51">
        <f>1765815.06</f>
        <v>1765815.06</v>
      </c>
      <c r="H76" s="51">
        <f>0</f>
        <v>0</v>
      </c>
      <c r="I76" s="51">
        <f>754879.28</f>
        <v>754879.28</v>
      </c>
      <c r="J76" s="51">
        <f>2450467.85</f>
        <v>2450467.85</v>
      </c>
      <c r="K76" s="24">
        <f>104987</f>
        <v>104987</v>
      </c>
      <c r="L76" s="24">
        <f>1287725</f>
        <v>1287725</v>
      </c>
      <c r="M76" s="25">
        <f>2634642.04</f>
        <v>2634642.04</v>
      </c>
      <c r="N76" s="26">
        <f>3878079.42</f>
        <v>3878079.42</v>
      </c>
      <c r="O76" s="27">
        <f>1552699.54</f>
        <v>1552699.54</v>
      </c>
      <c r="P76" s="27">
        <f>1165072.99</f>
        <v>1165072.99</v>
      </c>
      <c r="Q76" s="27">
        <f>0</f>
        <v>0</v>
      </c>
      <c r="R76" s="27">
        <f>0</f>
        <v>0</v>
      </c>
      <c r="S76" s="27">
        <f>0</f>
        <v>0</v>
      </c>
      <c r="T76" s="27">
        <f>0</f>
        <v>0</v>
      </c>
      <c r="U76" s="27">
        <f>0</f>
        <v>0</v>
      </c>
      <c r="V76" s="27">
        <f>0</f>
        <v>0</v>
      </c>
      <c r="W76" s="27">
        <f>0</f>
        <v>0</v>
      </c>
      <c r="X76" s="27">
        <f>0</f>
        <v>0</v>
      </c>
      <c r="Y76" s="27">
        <f>0</f>
        <v>0</v>
      </c>
      <c r="Z76" s="27">
        <f>0</f>
        <v>0</v>
      </c>
      <c r="AA76" s="27">
        <f>0</f>
        <v>0</v>
      </c>
    </row>
    <row r="77" spans="1:27" ht="23" outlineLevel="2">
      <c r="C77" s="21" t="s">
        <v>213</v>
      </c>
      <c r="D77" s="38"/>
      <c r="E77" s="57" t="s">
        <v>267</v>
      </c>
      <c r="F77" s="51">
        <f>0</f>
        <v>0</v>
      </c>
      <c r="G77" s="51">
        <f>1765815.06</f>
        <v>1765815.06</v>
      </c>
      <c r="H77" s="51">
        <f>0</f>
        <v>0</v>
      </c>
      <c r="I77" s="51">
        <f>754879.28</f>
        <v>754879.28</v>
      </c>
      <c r="J77" s="51">
        <f>2450467.85</f>
        <v>2450467.85</v>
      </c>
      <c r="K77" s="24">
        <f>104987</f>
        <v>104987</v>
      </c>
      <c r="L77" s="24">
        <f>1287725</f>
        <v>1287725</v>
      </c>
      <c r="M77" s="25">
        <f>2634642.04</f>
        <v>2634642.04</v>
      </c>
      <c r="N77" s="26">
        <f>3878079.42</f>
        <v>3878079.42</v>
      </c>
      <c r="O77" s="27">
        <f>1552699.54</f>
        <v>1552699.54</v>
      </c>
      <c r="P77" s="27">
        <f>1165072.99</f>
        <v>1165072.99</v>
      </c>
      <c r="Q77" s="27">
        <f>0</f>
        <v>0</v>
      </c>
      <c r="R77" s="27">
        <f>0</f>
        <v>0</v>
      </c>
      <c r="S77" s="27">
        <f>0</f>
        <v>0</v>
      </c>
      <c r="T77" s="27">
        <f>0</f>
        <v>0</v>
      </c>
      <c r="U77" s="27">
        <f>0</f>
        <v>0</v>
      </c>
      <c r="V77" s="27">
        <f>0</f>
        <v>0</v>
      </c>
      <c r="W77" s="27">
        <f>0</f>
        <v>0</v>
      </c>
      <c r="X77" s="27">
        <f>0</f>
        <v>0</v>
      </c>
      <c r="Y77" s="27">
        <f>0</f>
        <v>0</v>
      </c>
      <c r="Z77" s="27">
        <f>0</f>
        <v>0</v>
      </c>
      <c r="AA77" s="27">
        <f>0</f>
        <v>0</v>
      </c>
    </row>
    <row r="78" spans="1:27" outlineLevel="3">
      <c r="C78" s="21" t="s">
        <v>214</v>
      </c>
      <c r="D78" s="38"/>
      <c r="E78" s="89" t="s">
        <v>265</v>
      </c>
      <c r="F78" s="51">
        <f>0</f>
        <v>0</v>
      </c>
      <c r="G78" s="51">
        <f>1765815.06</f>
        <v>1765815.06</v>
      </c>
      <c r="H78" s="51">
        <f>0</f>
        <v>0</v>
      </c>
      <c r="I78" s="51">
        <f>0</f>
        <v>0</v>
      </c>
      <c r="J78" s="51">
        <f>2418112.88</f>
        <v>2418112.88</v>
      </c>
      <c r="K78" s="24">
        <f>104987</f>
        <v>104987</v>
      </c>
      <c r="L78" s="24">
        <f>1173011.72</f>
        <v>1173011.72</v>
      </c>
      <c r="M78" s="25">
        <f>2362319.72</f>
        <v>2362319.7200000002</v>
      </c>
      <c r="N78" s="26">
        <f>3595198.48</f>
        <v>3595198.48</v>
      </c>
      <c r="O78" s="27">
        <f>1552699.54</f>
        <v>1552699.54</v>
      </c>
      <c r="P78" s="27">
        <f>1165072.99</f>
        <v>1165072.99</v>
      </c>
      <c r="Q78" s="27">
        <f>0</f>
        <v>0</v>
      </c>
      <c r="R78" s="27">
        <f>0</f>
        <v>0</v>
      </c>
      <c r="S78" s="27">
        <f>0</f>
        <v>0</v>
      </c>
      <c r="T78" s="27">
        <f>0</f>
        <v>0</v>
      </c>
      <c r="U78" s="27">
        <f>0</f>
        <v>0</v>
      </c>
      <c r="V78" s="27">
        <f>0</f>
        <v>0</v>
      </c>
      <c r="W78" s="27">
        <f>0</f>
        <v>0</v>
      </c>
      <c r="X78" s="27">
        <f>0</f>
        <v>0</v>
      </c>
      <c r="Y78" s="27">
        <f>0</f>
        <v>0</v>
      </c>
      <c r="Z78" s="27">
        <f>0</f>
        <v>0</v>
      </c>
      <c r="AA78" s="27">
        <f>0</f>
        <v>0</v>
      </c>
    </row>
    <row r="79" spans="1:27" ht="23" outlineLevel="1">
      <c r="C79" s="21" t="s">
        <v>63</v>
      </c>
      <c r="D79" s="38"/>
      <c r="E79" s="87" t="s">
        <v>92</v>
      </c>
      <c r="F79" s="51">
        <f>0</f>
        <v>0</v>
      </c>
      <c r="G79" s="51">
        <f>343427.91</f>
        <v>343427.91</v>
      </c>
      <c r="H79" s="51">
        <f>824776.31</f>
        <v>824776.31</v>
      </c>
      <c r="I79" s="51">
        <f>393855.18</f>
        <v>393855.18</v>
      </c>
      <c r="J79" s="51">
        <f>626732.83</f>
        <v>626732.82999999996</v>
      </c>
      <c r="K79" s="24">
        <f>303191.13</f>
        <v>303191.13</v>
      </c>
      <c r="L79" s="24">
        <f>1001291.19</f>
        <v>1001291.19</v>
      </c>
      <c r="M79" s="25">
        <f>232819.65</f>
        <v>232819.65</v>
      </c>
      <c r="N79" s="26">
        <f>1401238.55</f>
        <v>1401238.55</v>
      </c>
      <c r="O79" s="27">
        <f>3712121.19</f>
        <v>3712121.19</v>
      </c>
      <c r="P79" s="27">
        <f>2716430.08</f>
        <v>2716430.08</v>
      </c>
      <c r="Q79" s="27">
        <f>13800</f>
        <v>13800</v>
      </c>
      <c r="R79" s="27">
        <f>0</f>
        <v>0</v>
      </c>
      <c r="S79" s="27">
        <f>0</f>
        <v>0</v>
      </c>
      <c r="T79" s="27">
        <f>0</f>
        <v>0</v>
      </c>
      <c r="U79" s="27">
        <f>0</f>
        <v>0</v>
      </c>
      <c r="V79" s="27">
        <f>0</f>
        <v>0</v>
      </c>
      <c r="W79" s="27">
        <f>0</f>
        <v>0</v>
      </c>
      <c r="X79" s="27">
        <f>0</f>
        <v>0</v>
      </c>
      <c r="Y79" s="27">
        <f>0</f>
        <v>0</v>
      </c>
      <c r="Z79" s="27">
        <f>0</f>
        <v>0</v>
      </c>
      <c r="AA79" s="27">
        <f>0</f>
        <v>0</v>
      </c>
    </row>
    <row r="80" spans="1:27" ht="23" outlineLevel="2">
      <c r="A80" s="18" t="s">
        <v>25</v>
      </c>
      <c r="B80" s="18" t="s">
        <v>25</v>
      </c>
      <c r="C80" s="21" t="s">
        <v>215</v>
      </c>
      <c r="D80" s="38"/>
      <c r="E80" s="57" t="s">
        <v>268</v>
      </c>
      <c r="F80" s="51">
        <f>566188.54</f>
        <v>566188.54</v>
      </c>
      <c r="G80" s="51">
        <f>343427.91</f>
        <v>343427.91</v>
      </c>
      <c r="H80" s="51">
        <f>824776.31</f>
        <v>824776.31</v>
      </c>
      <c r="I80" s="51">
        <f>393855.18</f>
        <v>393855.18</v>
      </c>
      <c r="J80" s="51">
        <f>626732.83</f>
        <v>626732.82999999996</v>
      </c>
      <c r="K80" s="24">
        <f>303191.13</f>
        <v>303191.13</v>
      </c>
      <c r="L80" s="24">
        <f>1001291.19</f>
        <v>1001291.19</v>
      </c>
      <c r="M80" s="25">
        <f>232819.65</f>
        <v>232819.65</v>
      </c>
      <c r="N80" s="26">
        <f>1401238.55</f>
        <v>1401238.55</v>
      </c>
      <c r="O80" s="27">
        <f>3712121.19</f>
        <v>3712121.19</v>
      </c>
      <c r="P80" s="27">
        <f>2716430.08</f>
        <v>2716430.08</v>
      </c>
      <c r="Q80" s="27">
        <f>0</f>
        <v>0</v>
      </c>
      <c r="R80" s="27">
        <f>0</f>
        <v>0</v>
      </c>
      <c r="S80" s="27">
        <f>0</f>
        <v>0</v>
      </c>
      <c r="T80" s="27">
        <f>0</f>
        <v>0</v>
      </c>
      <c r="U80" s="27">
        <f>0</f>
        <v>0</v>
      </c>
      <c r="V80" s="27">
        <f>0</f>
        <v>0</v>
      </c>
      <c r="W80" s="27">
        <f>0</f>
        <v>0</v>
      </c>
      <c r="X80" s="27">
        <f>0</f>
        <v>0</v>
      </c>
      <c r="Y80" s="27">
        <f>0</f>
        <v>0</v>
      </c>
      <c r="Z80" s="27">
        <f>0</f>
        <v>0</v>
      </c>
      <c r="AA80" s="27">
        <f>0</f>
        <v>0</v>
      </c>
    </row>
    <row r="81" spans="1:27" outlineLevel="3">
      <c r="C81" s="21" t="s">
        <v>216</v>
      </c>
      <c r="D81" s="38"/>
      <c r="E81" s="89" t="s">
        <v>269</v>
      </c>
      <c r="F81" s="51">
        <f>0</f>
        <v>0</v>
      </c>
      <c r="G81" s="51">
        <f>337263.42</f>
        <v>337263.42</v>
      </c>
      <c r="H81" s="51">
        <f>774921.31</f>
        <v>774921.31</v>
      </c>
      <c r="I81" s="51">
        <f>354719.31</f>
        <v>354719.31</v>
      </c>
      <c r="J81" s="51">
        <f>530037.13</f>
        <v>530037.13</v>
      </c>
      <c r="K81" s="24">
        <f>281907.9</f>
        <v>281907.90000000002</v>
      </c>
      <c r="L81" s="24">
        <f>940102.32</f>
        <v>940102.32</v>
      </c>
      <c r="M81" s="25">
        <f>223024.51</f>
        <v>223024.51</v>
      </c>
      <c r="N81" s="26">
        <f>1248098.18</f>
        <v>1248098.18</v>
      </c>
      <c r="O81" s="27">
        <f>1018297.46</f>
        <v>1018297.46</v>
      </c>
      <c r="P81" s="27">
        <f>471126.54</f>
        <v>471126.54</v>
      </c>
      <c r="Q81" s="27">
        <f>0</f>
        <v>0</v>
      </c>
      <c r="R81" s="27">
        <f>0</f>
        <v>0</v>
      </c>
      <c r="S81" s="27">
        <f>0</f>
        <v>0</v>
      </c>
      <c r="T81" s="27">
        <f>0</f>
        <v>0</v>
      </c>
      <c r="U81" s="27">
        <f>0</f>
        <v>0</v>
      </c>
      <c r="V81" s="27">
        <f>0</f>
        <v>0</v>
      </c>
      <c r="W81" s="27">
        <f>0</f>
        <v>0</v>
      </c>
      <c r="X81" s="27">
        <f>0</f>
        <v>0</v>
      </c>
      <c r="Y81" s="27">
        <f>0</f>
        <v>0</v>
      </c>
      <c r="Z81" s="27">
        <f>0</f>
        <v>0</v>
      </c>
      <c r="AA81" s="27">
        <f>0</f>
        <v>0</v>
      </c>
    </row>
    <row r="82" spans="1:27" ht="23" outlineLevel="1">
      <c r="C82" s="21" t="s">
        <v>64</v>
      </c>
      <c r="D82" s="38"/>
      <c r="E82" s="87" t="s">
        <v>93</v>
      </c>
      <c r="F82" s="51">
        <f>0</f>
        <v>0</v>
      </c>
      <c r="G82" s="51">
        <f>1104459.48</f>
        <v>1104459.48</v>
      </c>
      <c r="H82" s="51">
        <f>3609.02</f>
        <v>3609.02</v>
      </c>
      <c r="I82" s="51">
        <f>1834275.07</f>
        <v>1834275.07</v>
      </c>
      <c r="J82" s="51">
        <f>2004757.32</f>
        <v>2004757.32</v>
      </c>
      <c r="K82" s="24">
        <f>1337993.84</f>
        <v>1337993.8400000001</v>
      </c>
      <c r="L82" s="24">
        <f>661294</f>
        <v>661294</v>
      </c>
      <c r="M82" s="25">
        <f>1450742.67</f>
        <v>1450742.67</v>
      </c>
      <c r="N82" s="26">
        <f>4467565.57</f>
        <v>4467565.57</v>
      </c>
      <c r="O82" s="27">
        <f>9353491.26</f>
        <v>9353491.2599999998</v>
      </c>
      <c r="P82" s="27">
        <f>7286360.52</f>
        <v>7286360.5199999996</v>
      </c>
      <c r="Q82" s="27">
        <f>1500000</f>
        <v>1500000</v>
      </c>
      <c r="R82" s="27">
        <f>0</f>
        <v>0</v>
      </c>
      <c r="S82" s="27">
        <f>800000</f>
        <v>800000</v>
      </c>
      <c r="T82" s="27">
        <f>0</f>
        <v>0</v>
      </c>
      <c r="U82" s="27">
        <f>0</f>
        <v>0</v>
      </c>
      <c r="V82" s="27">
        <f>0</f>
        <v>0</v>
      </c>
      <c r="W82" s="27">
        <f>0</f>
        <v>0</v>
      </c>
      <c r="X82" s="27">
        <f>0</f>
        <v>0</v>
      </c>
      <c r="Y82" s="27">
        <f>0</f>
        <v>0</v>
      </c>
      <c r="Z82" s="27">
        <f>0</f>
        <v>0</v>
      </c>
      <c r="AA82" s="27">
        <f>0</f>
        <v>0</v>
      </c>
    </row>
    <row r="83" spans="1:27" ht="23" outlineLevel="2">
      <c r="C83" s="21" t="s">
        <v>217</v>
      </c>
      <c r="D83" s="38"/>
      <c r="E83" s="57" t="s">
        <v>270</v>
      </c>
      <c r="F83" s="51">
        <f>0</f>
        <v>0</v>
      </c>
      <c r="G83" s="51">
        <f>1104459.48</f>
        <v>1104459.48</v>
      </c>
      <c r="H83" s="51">
        <f>3609.02</f>
        <v>3609.02</v>
      </c>
      <c r="I83" s="51">
        <f>1834275.07</f>
        <v>1834275.07</v>
      </c>
      <c r="J83" s="51">
        <f>2004757.32</f>
        <v>2004757.32</v>
      </c>
      <c r="K83" s="24">
        <f>1337993.84</f>
        <v>1337993.8400000001</v>
      </c>
      <c r="L83" s="24">
        <f>661294</f>
        <v>661294</v>
      </c>
      <c r="M83" s="25">
        <f>1450742.67</f>
        <v>1450742.67</v>
      </c>
      <c r="N83" s="26">
        <f>4467565.57</f>
        <v>4467565.57</v>
      </c>
      <c r="O83" s="27">
        <f>8861481.28</f>
        <v>8861481.2799999993</v>
      </c>
      <c r="P83" s="27">
        <f>7259642.92</f>
        <v>7259642.9199999999</v>
      </c>
      <c r="Q83" s="27">
        <f>1500000</f>
        <v>1500000</v>
      </c>
      <c r="R83" s="27">
        <f>0</f>
        <v>0</v>
      </c>
      <c r="S83" s="27">
        <f>800000</f>
        <v>800000</v>
      </c>
      <c r="T83" s="27">
        <f>0</f>
        <v>0</v>
      </c>
      <c r="U83" s="27">
        <f>0</f>
        <v>0</v>
      </c>
      <c r="V83" s="27">
        <f>0</f>
        <v>0</v>
      </c>
      <c r="W83" s="27">
        <f>0</f>
        <v>0</v>
      </c>
      <c r="X83" s="27">
        <f>0</f>
        <v>0</v>
      </c>
      <c r="Y83" s="27">
        <f>0</f>
        <v>0</v>
      </c>
      <c r="Z83" s="27">
        <f>0</f>
        <v>0</v>
      </c>
      <c r="AA83" s="27">
        <f>0</f>
        <v>0</v>
      </c>
    </row>
    <row r="84" spans="1:27" outlineLevel="3">
      <c r="C84" s="21" t="s">
        <v>218</v>
      </c>
      <c r="D84" s="38"/>
      <c r="E84" s="89" t="s">
        <v>269</v>
      </c>
      <c r="F84" s="51">
        <f>0</f>
        <v>0</v>
      </c>
      <c r="G84" s="51">
        <f>912146.36</f>
        <v>912146.36</v>
      </c>
      <c r="H84" s="51">
        <f>0</f>
        <v>0</v>
      </c>
      <c r="I84" s="51">
        <f>1219933.94</f>
        <v>1219933.94</v>
      </c>
      <c r="J84" s="51">
        <f>1776658.8</f>
        <v>1776658.8</v>
      </c>
      <c r="K84" s="24">
        <f>881921.28</f>
        <v>881921.28</v>
      </c>
      <c r="L84" s="24">
        <f>546580.72</f>
        <v>546580.72</v>
      </c>
      <c r="M84" s="25">
        <f>1280875.35</f>
        <v>1280875.3500000001</v>
      </c>
      <c r="N84" s="26">
        <f>3749436.07</f>
        <v>3749436.07</v>
      </c>
      <c r="O84" s="27">
        <f>7341182.43</f>
        <v>7341182.4299999997</v>
      </c>
      <c r="P84" s="27">
        <f>6170696.48</f>
        <v>6170696.4800000004</v>
      </c>
      <c r="Q84" s="27">
        <f>1275000</f>
        <v>1275000</v>
      </c>
      <c r="R84" s="27">
        <f>0</f>
        <v>0</v>
      </c>
      <c r="S84" s="27">
        <f>630000</f>
        <v>630000</v>
      </c>
      <c r="T84" s="27">
        <f>0</f>
        <v>0</v>
      </c>
      <c r="U84" s="27">
        <f>0</f>
        <v>0</v>
      </c>
      <c r="V84" s="27">
        <f>0</f>
        <v>0</v>
      </c>
      <c r="W84" s="27">
        <f>0</f>
        <v>0</v>
      </c>
      <c r="X84" s="27">
        <f>0</f>
        <v>0</v>
      </c>
      <c r="Y84" s="27">
        <f>0</f>
        <v>0</v>
      </c>
      <c r="Z84" s="27">
        <f>0</f>
        <v>0</v>
      </c>
      <c r="AA84" s="27">
        <f>0</f>
        <v>0</v>
      </c>
    </row>
    <row r="85" spans="1:27">
      <c r="C85" s="14">
        <v>10</v>
      </c>
      <c r="D85" s="38"/>
      <c r="E85" s="59" t="s">
        <v>172</v>
      </c>
      <c r="F85" s="53" t="s">
        <v>25</v>
      </c>
      <c r="G85" s="53" t="s">
        <v>25</v>
      </c>
      <c r="H85" s="53" t="s">
        <v>25</v>
      </c>
      <c r="I85" s="53" t="s">
        <v>25</v>
      </c>
      <c r="J85" s="53" t="s">
        <v>25</v>
      </c>
      <c r="K85" s="30" t="s">
        <v>25</v>
      </c>
      <c r="L85" s="30" t="s">
        <v>25</v>
      </c>
      <c r="M85" s="31" t="s">
        <v>25</v>
      </c>
      <c r="N85" s="32" t="s">
        <v>25</v>
      </c>
      <c r="O85" s="33" t="s">
        <v>25</v>
      </c>
      <c r="P85" s="33" t="s">
        <v>25</v>
      </c>
      <c r="Q85" s="33" t="s">
        <v>25</v>
      </c>
      <c r="R85" s="33" t="s">
        <v>25</v>
      </c>
      <c r="S85" s="33" t="s">
        <v>25</v>
      </c>
      <c r="T85" s="33" t="s">
        <v>25</v>
      </c>
      <c r="U85" s="33" t="s">
        <v>25</v>
      </c>
      <c r="V85" s="33" t="s">
        <v>25</v>
      </c>
      <c r="W85" s="33" t="s">
        <v>25</v>
      </c>
      <c r="X85" s="33" t="s">
        <v>25</v>
      </c>
      <c r="Y85" s="33" t="s">
        <v>25</v>
      </c>
      <c r="Z85" s="33" t="s">
        <v>25</v>
      </c>
      <c r="AA85" s="33" t="s">
        <v>25</v>
      </c>
    </row>
    <row r="86" spans="1:27" outlineLevel="1">
      <c r="C86" s="21" t="s">
        <v>65</v>
      </c>
      <c r="D86" s="38"/>
      <c r="E86" s="90" t="s">
        <v>173</v>
      </c>
      <c r="F86" s="51">
        <f>0</f>
        <v>0</v>
      </c>
      <c r="G86" s="51">
        <f>8134941.46</f>
        <v>8134941.46</v>
      </c>
      <c r="H86" s="51">
        <f>4889956.01</f>
        <v>4889956.01</v>
      </c>
      <c r="I86" s="51">
        <f>4712330.05</f>
        <v>4712330.05</v>
      </c>
      <c r="J86" s="51">
        <f>6784312.22</f>
        <v>6784312.2199999997</v>
      </c>
      <c r="K86" s="24">
        <f>15545257.92</f>
        <v>15545257.92</v>
      </c>
      <c r="L86" s="24">
        <f>16129020.01</f>
        <v>16129020.01</v>
      </c>
      <c r="M86" s="25">
        <f>0</f>
        <v>0</v>
      </c>
      <c r="N86" s="26">
        <f>27115079.69</f>
        <v>27115079.690000001</v>
      </c>
      <c r="O86" s="27">
        <f>19815159.45</f>
        <v>19815159.449999999</v>
      </c>
      <c r="P86" s="27">
        <f>14502790.6</f>
        <v>14502790.6</v>
      </c>
      <c r="Q86" s="27">
        <f>5513800</f>
        <v>5513800</v>
      </c>
      <c r="R86" s="27">
        <f>0</f>
        <v>0</v>
      </c>
      <c r="S86" s="27">
        <f>800000</f>
        <v>800000</v>
      </c>
      <c r="T86" s="27">
        <f>0</f>
        <v>0</v>
      </c>
      <c r="U86" s="27">
        <f>0</f>
        <v>0</v>
      </c>
      <c r="V86" s="27">
        <f>0</f>
        <v>0</v>
      </c>
      <c r="W86" s="27">
        <f>0</f>
        <v>0</v>
      </c>
      <c r="X86" s="27">
        <f>0</f>
        <v>0</v>
      </c>
      <c r="Y86" s="27">
        <f>0</f>
        <v>0</v>
      </c>
      <c r="Z86" s="27">
        <f>0</f>
        <v>0</v>
      </c>
      <c r="AA86" s="27">
        <f>0</f>
        <v>0</v>
      </c>
    </row>
    <row r="87" spans="1:27" outlineLevel="2">
      <c r="C87" s="21" t="s">
        <v>219</v>
      </c>
      <c r="D87" s="38" t="s">
        <v>292</v>
      </c>
      <c r="E87" s="57" t="s">
        <v>90</v>
      </c>
      <c r="F87" s="51">
        <f>0</f>
        <v>0</v>
      </c>
      <c r="G87" s="51">
        <f>626751.93</f>
        <v>626751.93000000005</v>
      </c>
      <c r="H87" s="51">
        <f>1228556.84</f>
        <v>1228556.8400000001</v>
      </c>
      <c r="I87" s="51">
        <f>568673.25</f>
        <v>568673.25</v>
      </c>
      <c r="J87" s="51">
        <f>1110580.58</f>
        <v>1110580.58</v>
      </c>
      <c r="K87" s="24">
        <f>606003.64</f>
        <v>606003.64</v>
      </c>
      <c r="L87" s="24">
        <f>2058601.62</f>
        <v>2058601.62</v>
      </c>
      <c r="M87" s="25">
        <f>0</f>
        <v>0</v>
      </c>
      <c r="N87" s="26">
        <f>1701589.54</f>
        <v>1701589.54</v>
      </c>
      <c r="O87" s="27">
        <f>3731678.19</f>
        <v>3731678.19</v>
      </c>
      <c r="P87" s="27">
        <f>2716430.08</f>
        <v>2716430.08</v>
      </c>
      <c r="Q87" s="27">
        <f>13800</f>
        <v>13800</v>
      </c>
      <c r="R87" s="27">
        <f>0</f>
        <v>0</v>
      </c>
      <c r="S87" s="27">
        <f>0</f>
        <v>0</v>
      </c>
      <c r="T87" s="27">
        <f>0</f>
        <v>0</v>
      </c>
      <c r="U87" s="27">
        <f>0</f>
        <v>0</v>
      </c>
      <c r="V87" s="27">
        <f>0</f>
        <v>0</v>
      </c>
      <c r="W87" s="27">
        <f>0</f>
        <v>0</v>
      </c>
      <c r="X87" s="27">
        <f>0</f>
        <v>0</v>
      </c>
      <c r="Y87" s="27">
        <f>0</f>
        <v>0</v>
      </c>
      <c r="Z87" s="27">
        <f>0</f>
        <v>0</v>
      </c>
      <c r="AA87" s="27">
        <f>0</f>
        <v>0</v>
      </c>
    </row>
    <row r="88" spans="1:27" outlineLevel="2">
      <c r="C88" s="21" t="s">
        <v>220</v>
      </c>
      <c r="D88" s="38" t="s">
        <v>293</v>
      </c>
      <c r="E88" s="57" t="s">
        <v>91</v>
      </c>
      <c r="F88" s="51">
        <f>0</f>
        <v>0</v>
      </c>
      <c r="G88" s="51">
        <f>7508189.53</f>
        <v>7508189.5300000003</v>
      </c>
      <c r="H88" s="51">
        <f>3661399.17</f>
        <v>3661399.17</v>
      </c>
      <c r="I88" s="51">
        <f>4143656.8</f>
        <v>4143656.8</v>
      </c>
      <c r="J88" s="51">
        <f>5673731.64</f>
        <v>5673731.6399999997</v>
      </c>
      <c r="K88" s="24">
        <f>14939254.28</f>
        <v>14939254.279999999</v>
      </c>
      <c r="L88" s="24">
        <f>14070418.39</f>
        <v>14070418.390000001</v>
      </c>
      <c r="M88" s="25">
        <f>0</f>
        <v>0</v>
      </c>
      <c r="N88" s="26">
        <f>25413490.15</f>
        <v>25413490.149999999</v>
      </c>
      <c r="O88" s="27">
        <f>16083481.26</f>
        <v>16083481.26</v>
      </c>
      <c r="P88" s="27">
        <f>11786360.52</f>
        <v>11786360.52</v>
      </c>
      <c r="Q88" s="27">
        <f>5500000</f>
        <v>5500000</v>
      </c>
      <c r="R88" s="27">
        <f>0</f>
        <v>0</v>
      </c>
      <c r="S88" s="27">
        <f>800000</f>
        <v>800000</v>
      </c>
      <c r="T88" s="27">
        <f>0</f>
        <v>0</v>
      </c>
      <c r="U88" s="27">
        <f>0</f>
        <v>0</v>
      </c>
      <c r="V88" s="27">
        <f>0</f>
        <v>0</v>
      </c>
      <c r="W88" s="27">
        <f>0</f>
        <v>0</v>
      </c>
      <c r="X88" s="27">
        <f>0</f>
        <v>0</v>
      </c>
      <c r="Y88" s="27">
        <f>0</f>
        <v>0</v>
      </c>
      <c r="Z88" s="27">
        <f>0</f>
        <v>0</v>
      </c>
      <c r="AA88" s="27">
        <f>0</f>
        <v>0</v>
      </c>
    </row>
    <row r="89" spans="1:27" ht="23" outlineLevel="1">
      <c r="C89" s="21" t="s">
        <v>233</v>
      </c>
      <c r="D89" s="38"/>
      <c r="E89" s="87" t="s">
        <v>94</v>
      </c>
      <c r="F89" s="51">
        <f>0</f>
        <v>0</v>
      </c>
      <c r="G89" s="51">
        <f>0</f>
        <v>0</v>
      </c>
      <c r="H89" s="51">
        <f>0</f>
        <v>0</v>
      </c>
      <c r="I89" s="51">
        <f>0</f>
        <v>0</v>
      </c>
      <c r="J89" s="51">
        <f>0</f>
        <v>0</v>
      </c>
      <c r="K89" s="24">
        <f>0</f>
        <v>0</v>
      </c>
      <c r="L89" s="24">
        <f>0</f>
        <v>0</v>
      </c>
      <c r="M89" s="25">
        <f>0</f>
        <v>0</v>
      </c>
      <c r="N89" s="26">
        <f>0</f>
        <v>0</v>
      </c>
      <c r="O89" s="27">
        <f>0</f>
        <v>0</v>
      </c>
      <c r="P89" s="27">
        <f>0</f>
        <v>0</v>
      </c>
      <c r="Q89" s="27">
        <f>0</f>
        <v>0</v>
      </c>
      <c r="R89" s="27">
        <f>0</f>
        <v>0</v>
      </c>
      <c r="S89" s="27">
        <f>0</f>
        <v>0</v>
      </c>
      <c r="T89" s="27">
        <f>0</f>
        <v>0</v>
      </c>
      <c r="U89" s="27">
        <f>0</f>
        <v>0</v>
      </c>
      <c r="V89" s="27">
        <f>0</f>
        <v>0</v>
      </c>
      <c r="W89" s="27">
        <f>0</f>
        <v>0</v>
      </c>
      <c r="X89" s="27">
        <f>0</f>
        <v>0</v>
      </c>
      <c r="Y89" s="27">
        <f>0</f>
        <v>0</v>
      </c>
      <c r="Z89" s="27">
        <f>0</f>
        <v>0</v>
      </c>
      <c r="AA89" s="27">
        <f>0</f>
        <v>0</v>
      </c>
    </row>
    <row r="90" spans="1:27" ht="23" outlineLevel="1">
      <c r="C90" s="21" t="s">
        <v>234</v>
      </c>
      <c r="D90" s="38"/>
      <c r="E90" s="87" t="s">
        <v>271</v>
      </c>
      <c r="F90" s="51">
        <f>0</f>
        <v>0</v>
      </c>
      <c r="G90" s="51">
        <f>0</f>
        <v>0</v>
      </c>
      <c r="H90" s="51">
        <f>0</f>
        <v>0</v>
      </c>
      <c r="I90" s="51">
        <f>0</f>
        <v>0</v>
      </c>
      <c r="J90" s="51">
        <f>0</f>
        <v>0</v>
      </c>
      <c r="K90" s="24">
        <f>0</f>
        <v>0</v>
      </c>
      <c r="L90" s="24">
        <f>0</f>
        <v>0</v>
      </c>
      <c r="M90" s="25">
        <f>0</f>
        <v>0</v>
      </c>
      <c r="N90" s="26">
        <f>0</f>
        <v>0</v>
      </c>
      <c r="O90" s="27">
        <f>0</f>
        <v>0</v>
      </c>
      <c r="P90" s="27">
        <f>0</f>
        <v>0</v>
      </c>
      <c r="Q90" s="27">
        <f>0</f>
        <v>0</v>
      </c>
      <c r="R90" s="27">
        <f>0</f>
        <v>0</v>
      </c>
      <c r="S90" s="27">
        <f>0</f>
        <v>0</v>
      </c>
      <c r="T90" s="27">
        <f>0</f>
        <v>0</v>
      </c>
      <c r="U90" s="27">
        <f>0</f>
        <v>0</v>
      </c>
      <c r="V90" s="27">
        <f>0</f>
        <v>0</v>
      </c>
      <c r="W90" s="27">
        <f>0</f>
        <v>0</v>
      </c>
      <c r="X90" s="27">
        <f>0</f>
        <v>0</v>
      </c>
      <c r="Y90" s="27">
        <f>0</f>
        <v>0</v>
      </c>
      <c r="Z90" s="27">
        <f>0</f>
        <v>0</v>
      </c>
      <c r="AA90" s="27">
        <f>0</f>
        <v>0</v>
      </c>
    </row>
    <row r="91" spans="1:27" ht="23" outlineLevel="1">
      <c r="A91" s="18" t="s">
        <v>25</v>
      </c>
      <c r="C91" s="21" t="s">
        <v>235</v>
      </c>
      <c r="D91" s="38"/>
      <c r="E91" s="87" t="s">
        <v>104</v>
      </c>
      <c r="F91" s="51">
        <f>0</f>
        <v>0</v>
      </c>
      <c r="G91" s="51">
        <f>0</f>
        <v>0</v>
      </c>
      <c r="H91" s="51">
        <f>0</f>
        <v>0</v>
      </c>
      <c r="I91" s="51">
        <f>0</f>
        <v>0</v>
      </c>
      <c r="J91" s="51">
        <f>0</f>
        <v>0</v>
      </c>
      <c r="K91" s="24">
        <f>10556</f>
        <v>10556</v>
      </c>
      <c r="L91" s="24">
        <f>20965</f>
        <v>20965</v>
      </c>
      <c r="M91" s="25">
        <f>0</f>
        <v>0</v>
      </c>
      <c r="N91" s="26">
        <f>20060</f>
        <v>20060</v>
      </c>
      <c r="O91" s="27">
        <f>18946</f>
        <v>18946</v>
      </c>
      <c r="P91" s="27">
        <f>17830</f>
        <v>17830</v>
      </c>
      <c r="Q91" s="27">
        <f>14508</f>
        <v>14508</v>
      </c>
      <c r="R91" s="27">
        <f>3782</f>
        <v>3782</v>
      </c>
      <c r="S91" s="27">
        <f>3555</f>
        <v>3555</v>
      </c>
      <c r="T91" s="27">
        <f>3327</f>
        <v>3327</v>
      </c>
      <c r="U91" s="27">
        <f>3100</f>
        <v>3100</v>
      </c>
      <c r="V91" s="27">
        <f>2872</f>
        <v>2872</v>
      </c>
      <c r="W91" s="27">
        <f>0</f>
        <v>0</v>
      </c>
      <c r="X91" s="27">
        <f>0</f>
        <v>0</v>
      </c>
      <c r="Y91" s="27">
        <f>0</f>
        <v>0</v>
      </c>
      <c r="Z91" s="27">
        <f>0</f>
        <v>0</v>
      </c>
      <c r="AA91" s="27">
        <f>0</f>
        <v>0</v>
      </c>
    </row>
    <row r="92" spans="1:27" ht="23" outlineLevel="1">
      <c r="C92" s="21" t="s">
        <v>236</v>
      </c>
      <c r="D92" s="38"/>
      <c r="E92" s="87" t="s">
        <v>272</v>
      </c>
      <c r="F92" s="51">
        <f>0</f>
        <v>0</v>
      </c>
      <c r="G92" s="51">
        <f>0</f>
        <v>0</v>
      </c>
      <c r="H92" s="51">
        <f>0</f>
        <v>0</v>
      </c>
      <c r="I92" s="51">
        <f>0</f>
        <v>0</v>
      </c>
      <c r="J92" s="51">
        <f>0</f>
        <v>0</v>
      </c>
      <c r="K92" s="24">
        <f>0</f>
        <v>0</v>
      </c>
      <c r="L92" s="24">
        <f>0</f>
        <v>0</v>
      </c>
      <c r="M92" s="25">
        <f>0</f>
        <v>0</v>
      </c>
      <c r="N92" s="26">
        <f>0</f>
        <v>0</v>
      </c>
      <c r="O92" s="27">
        <f>0</f>
        <v>0</v>
      </c>
      <c r="P92" s="27">
        <f>0</f>
        <v>0</v>
      </c>
      <c r="Q92" s="27">
        <f>0</f>
        <v>0</v>
      </c>
      <c r="R92" s="27">
        <f>0</f>
        <v>0</v>
      </c>
      <c r="S92" s="27">
        <f>0</f>
        <v>0</v>
      </c>
      <c r="T92" s="27">
        <f>0</f>
        <v>0</v>
      </c>
      <c r="U92" s="27">
        <f>0</f>
        <v>0</v>
      </c>
      <c r="V92" s="27">
        <f>0</f>
        <v>0</v>
      </c>
      <c r="W92" s="27">
        <f>0</f>
        <v>0</v>
      </c>
      <c r="X92" s="27">
        <f>0</f>
        <v>0</v>
      </c>
      <c r="Y92" s="27">
        <f>0</f>
        <v>0</v>
      </c>
      <c r="Z92" s="27">
        <f>0</f>
        <v>0</v>
      </c>
      <c r="AA92" s="27">
        <f>0</f>
        <v>0</v>
      </c>
    </row>
    <row r="93" spans="1:27" outlineLevel="1">
      <c r="C93" s="21" t="s">
        <v>237</v>
      </c>
      <c r="D93" s="38"/>
      <c r="E93" s="87" t="s">
        <v>273</v>
      </c>
      <c r="F93" s="51">
        <f>0</f>
        <v>0</v>
      </c>
      <c r="G93" s="51">
        <f>1018252.6</f>
        <v>1018252.6</v>
      </c>
      <c r="H93" s="51">
        <f>1387875.6</f>
        <v>1387875.6</v>
      </c>
      <c r="I93" s="51">
        <f>1205875.6</f>
        <v>1205875.6000000001</v>
      </c>
      <c r="J93" s="51">
        <f>1205875.6</f>
        <v>1205875.6000000001</v>
      </c>
      <c r="K93" s="24">
        <f>1123718</f>
        <v>1123718</v>
      </c>
      <c r="L93" s="24">
        <f>765994</f>
        <v>765994</v>
      </c>
      <c r="M93" s="25">
        <f>0</f>
        <v>0</v>
      </c>
      <c r="N93" s="26">
        <f>685984</f>
        <v>685984</v>
      </c>
      <c r="O93" s="27">
        <f>803535.6</f>
        <v>803535.6</v>
      </c>
      <c r="P93" s="27">
        <f>803540.94</f>
        <v>803540.94</v>
      </c>
      <c r="Q93" s="27">
        <f>632593.2</f>
        <v>632593.19999999995</v>
      </c>
      <c r="R93" s="27">
        <f>541436.11</f>
        <v>541436.11</v>
      </c>
      <c r="S93" s="27">
        <f t="shared" ref="S93:X93" si="12">191817.6</f>
        <v>191817.60000000001</v>
      </c>
      <c r="T93" s="27">
        <f t="shared" si="12"/>
        <v>191817.60000000001</v>
      </c>
      <c r="U93" s="27">
        <f t="shared" si="12"/>
        <v>191817.60000000001</v>
      </c>
      <c r="V93" s="27">
        <f t="shared" si="12"/>
        <v>191817.60000000001</v>
      </c>
      <c r="W93" s="27">
        <f t="shared" si="12"/>
        <v>191817.60000000001</v>
      </c>
      <c r="X93" s="27">
        <f t="shared" si="12"/>
        <v>191817.60000000001</v>
      </c>
      <c r="Y93" s="27">
        <f>74266</f>
        <v>74266</v>
      </c>
      <c r="Z93" s="27">
        <f>74266</f>
        <v>74266</v>
      </c>
      <c r="AA93" s="27">
        <f>74266</f>
        <v>74266</v>
      </c>
    </row>
    <row r="94" spans="1:27" outlineLevel="1">
      <c r="A94" s="18" t="s">
        <v>25</v>
      </c>
      <c r="C94" s="21" t="s">
        <v>238</v>
      </c>
      <c r="D94" s="38"/>
      <c r="E94" s="87" t="s">
        <v>95</v>
      </c>
      <c r="F94" s="51">
        <f>0</f>
        <v>0</v>
      </c>
      <c r="G94" s="51">
        <f>0</f>
        <v>0</v>
      </c>
      <c r="H94" s="51">
        <f>0</f>
        <v>0</v>
      </c>
      <c r="I94" s="51">
        <f>0</f>
        <v>0</v>
      </c>
      <c r="J94" s="51">
        <f>0</f>
        <v>0</v>
      </c>
      <c r="K94" s="24">
        <f>0</f>
        <v>0</v>
      </c>
      <c r="L94" s="24">
        <f>0</f>
        <v>0</v>
      </c>
      <c r="M94" s="25">
        <f>0</f>
        <v>0</v>
      </c>
      <c r="N94" s="26">
        <f>0</f>
        <v>0</v>
      </c>
      <c r="O94" s="27">
        <f>0</f>
        <v>0</v>
      </c>
      <c r="P94" s="27">
        <f>0</f>
        <v>0</v>
      </c>
      <c r="Q94" s="27">
        <f>0</f>
        <v>0</v>
      </c>
      <c r="R94" s="27">
        <f>0</f>
        <v>0</v>
      </c>
      <c r="S94" s="27">
        <f>0</f>
        <v>0</v>
      </c>
      <c r="T94" s="27">
        <f>0</f>
        <v>0</v>
      </c>
      <c r="U94" s="27">
        <f>0</f>
        <v>0</v>
      </c>
      <c r="V94" s="27">
        <f>0</f>
        <v>0</v>
      </c>
      <c r="W94" s="27">
        <f>0</f>
        <v>0</v>
      </c>
      <c r="X94" s="27">
        <f>0</f>
        <v>0</v>
      </c>
      <c r="Y94" s="27">
        <f>0</f>
        <v>0</v>
      </c>
      <c r="Z94" s="27">
        <f>0</f>
        <v>0</v>
      </c>
      <c r="AA94" s="27">
        <f>0</f>
        <v>0</v>
      </c>
    </row>
    <row r="95" spans="1:27" outlineLevel="2">
      <c r="A95" s="18" t="s">
        <v>25</v>
      </c>
      <c r="C95" s="21" t="s">
        <v>221</v>
      </c>
      <c r="D95" s="38"/>
      <c r="E95" s="57" t="s">
        <v>274</v>
      </c>
      <c r="F95" s="51">
        <f>0</f>
        <v>0</v>
      </c>
      <c r="G95" s="51">
        <f>0</f>
        <v>0</v>
      </c>
      <c r="H95" s="51">
        <f>0</f>
        <v>0</v>
      </c>
      <c r="I95" s="51">
        <f>0</f>
        <v>0</v>
      </c>
      <c r="J95" s="51">
        <f>0</f>
        <v>0</v>
      </c>
      <c r="K95" s="24">
        <f>0</f>
        <v>0</v>
      </c>
      <c r="L95" s="24">
        <f>0</f>
        <v>0</v>
      </c>
      <c r="M95" s="25">
        <f>0</f>
        <v>0</v>
      </c>
      <c r="N95" s="26">
        <f>0</f>
        <v>0</v>
      </c>
      <c r="O95" s="27">
        <f>0</f>
        <v>0</v>
      </c>
      <c r="P95" s="27">
        <f>0</f>
        <v>0</v>
      </c>
      <c r="Q95" s="27">
        <f>0</f>
        <v>0</v>
      </c>
      <c r="R95" s="27">
        <f>0</f>
        <v>0</v>
      </c>
      <c r="S95" s="27">
        <f>0</f>
        <v>0</v>
      </c>
      <c r="T95" s="27">
        <f>0</f>
        <v>0</v>
      </c>
      <c r="U95" s="27">
        <f>0</f>
        <v>0</v>
      </c>
      <c r="V95" s="27">
        <f>0</f>
        <v>0</v>
      </c>
      <c r="W95" s="27">
        <f>0</f>
        <v>0</v>
      </c>
      <c r="X95" s="27">
        <f>0</f>
        <v>0</v>
      </c>
      <c r="Y95" s="27">
        <f>0</f>
        <v>0</v>
      </c>
      <c r="Z95" s="27">
        <f>0</f>
        <v>0</v>
      </c>
      <c r="AA95" s="27">
        <f>0</f>
        <v>0</v>
      </c>
    </row>
    <row r="96" spans="1:27" outlineLevel="2">
      <c r="A96" s="18" t="s">
        <v>25</v>
      </c>
      <c r="B96" s="18" t="s">
        <v>25</v>
      </c>
      <c r="C96" s="21" t="s">
        <v>222</v>
      </c>
      <c r="D96" s="38"/>
      <c r="E96" s="57" t="s">
        <v>275</v>
      </c>
      <c r="F96" s="51">
        <f>0</f>
        <v>0</v>
      </c>
      <c r="G96" s="51">
        <f>0</f>
        <v>0</v>
      </c>
      <c r="H96" s="51">
        <f>0</f>
        <v>0</v>
      </c>
      <c r="I96" s="51">
        <f>0</f>
        <v>0</v>
      </c>
      <c r="J96" s="51">
        <f>0</f>
        <v>0</v>
      </c>
      <c r="K96" s="24">
        <f>0</f>
        <v>0</v>
      </c>
      <c r="L96" s="24">
        <f>0</f>
        <v>0</v>
      </c>
      <c r="M96" s="25">
        <f>0</f>
        <v>0</v>
      </c>
      <c r="N96" s="26">
        <f>0</f>
        <v>0</v>
      </c>
      <c r="O96" s="27">
        <f>0</f>
        <v>0</v>
      </c>
      <c r="P96" s="27">
        <f>0</f>
        <v>0</v>
      </c>
      <c r="Q96" s="27">
        <f>0</f>
        <v>0</v>
      </c>
      <c r="R96" s="27">
        <f>0</f>
        <v>0</v>
      </c>
      <c r="S96" s="27">
        <f>0</f>
        <v>0</v>
      </c>
      <c r="T96" s="27">
        <f>0</f>
        <v>0</v>
      </c>
      <c r="U96" s="27">
        <f>0</f>
        <v>0</v>
      </c>
      <c r="V96" s="27">
        <f>0</f>
        <v>0</v>
      </c>
      <c r="W96" s="27">
        <f>0</f>
        <v>0</v>
      </c>
      <c r="X96" s="27">
        <f>0</f>
        <v>0</v>
      </c>
      <c r="Y96" s="27">
        <f>0</f>
        <v>0</v>
      </c>
      <c r="Z96" s="27">
        <f>0</f>
        <v>0</v>
      </c>
      <c r="AA96" s="27">
        <f>0</f>
        <v>0</v>
      </c>
    </row>
    <row r="97" spans="1:27" outlineLevel="3">
      <c r="A97" s="18" t="s">
        <v>25</v>
      </c>
      <c r="B97" s="18" t="s">
        <v>25</v>
      </c>
      <c r="C97" s="21" t="s">
        <v>223</v>
      </c>
      <c r="D97" s="38"/>
      <c r="E97" s="89" t="s">
        <v>276</v>
      </c>
      <c r="F97" s="51">
        <f>0</f>
        <v>0</v>
      </c>
      <c r="G97" s="51">
        <f>0</f>
        <v>0</v>
      </c>
      <c r="H97" s="51">
        <f>0</f>
        <v>0</v>
      </c>
      <c r="I97" s="51">
        <f>0</f>
        <v>0</v>
      </c>
      <c r="J97" s="51">
        <f>0</f>
        <v>0</v>
      </c>
      <c r="K97" s="24">
        <f>0</f>
        <v>0</v>
      </c>
      <c r="L97" s="24">
        <f>0</f>
        <v>0</v>
      </c>
      <c r="M97" s="25">
        <f>0</f>
        <v>0</v>
      </c>
      <c r="N97" s="26">
        <f>0</f>
        <v>0</v>
      </c>
      <c r="O97" s="27">
        <f>0</f>
        <v>0</v>
      </c>
      <c r="P97" s="27">
        <f>0</f>
        <v>0</v>
      </c>
      <c r="Q97" s="27">
        <f>0</f>
        <v>0</v>
      </c>
      <c r="R97" s="27">
        <f>0</f>
        <v>0</v>
      </c>
      <c r="S97" s="27">
        <f>0</f>
        <v>0</v>
      </c>
      <c r="T97" s="27">
        <f>0</f>
        <v>0</v>
      </c>
      <c r="U97" s="27">
        <f>0</f>
        <v>0</v>
      </c>
      <c r="V97" s="27">
        <f>0</f>
        <v>0</v>
      </c>
      <c r="W97" s="27">
        <f>0</f>
        <v>0</v>
      </c>
      <c r="X97" s="27">
        <f>0</f>
        <v>0</v>
      </c>
      <c r="Y97" s="27">
        <f>0</f>
        <v>0</v>
      </c>
      <c r="Z97" s="27">
        <f>0</f>
        <v>0</v>
      </c>
      <c r="AA97" s="27">
        <f>0</f>
        <v>0</v>
      </c>
    </row>
    <row r="98" spans="1:27" outlineLevel="4">
      <c r="A98" s="18" t="s">
        <v>25</v>
      </c>
      <c r="B98" s="18" t="s">
        <v>25</v>
      </c>
      <c r="C98" s="21" t="s">
        <v>224</v>
      </c>
      <c r="D98" s="38"/>
      <c r="E98" s="58" t="s">
        <v>277</v>
      </c>
      <c r="F98" s="51">
        <f>0</f>
        <v>0</v>
      </c>
      <c r="G98" s="51">
        <f>0</f>
        <v>0</v>
      </c>
      <c r="H98" s="51">
        <f>0</f>
        <v>0</v>
      </c>
      <c r="I98" s="51">
        <f>0</f>
        <v>0</v>
      </c>
      <c r="J98" s="51">
        <f>0</f>
        <v>0</v>
      </c>
      <c r="K98" s="24">
        <f>0</f>
        <v>0</v>
      </c>
      <c r="L98" s="24">
        <f>0</f>
        <v>0</v>
      </c>
      <c r="M98" s="25">
        <f>0</f>
        <v>0</v>
      </c>
      <c r="N98" s="26">
        <f>0</f>
        <v>0</v>
      </c>
      <c r="O98" s="27">
        <f>0</f>
        <v>0</v>
      </c>
      <c r="P98" s="27">
        <f>0</f>
        <v>0</v>
      </c>
      <c r="Q98" s="27">
        <f>0</f>
        <v>0</v>
      </c>
      <c r="R98" s="27">
        <f>0</f>
        <v>0</v>
      </c>
      <c r="S98" s="27">
        <f>0</f>
        <v>0</v>
      </c>
      <c r="T98" s="27">
        <f>0</f>
        <v>0</v>
      </c>
      <c r="U98" s="27">
        <f>0</f>
        <v>0</v>
      </c>
      <c r="V98" s="27">
        <f>0</f>
        <v>0</v>
      </c>
      <c r="W98" s="27">
        <f>0</f>
        <v>0</v>
      </c>
      <c r="X98" s="27">
        <f>0</f>
        <v>0</v>
      </c>
      <c r="Y98" s="27">
        <f>0</f>
        <v>0</v>
      </c>
      <c r="Z98" s="27">
        <f>0</f>
        <v>0</v>
      </c>
      <c r="AA98" s="27">
        <f>0</f>
        <v>0</v>
      </c>
    </row>
    <row r="99" spans="1:27" outlineLevel="2">
      <c r="A99" s="18" t="s">
        <v>25</v>
      </c>
      <c r="C99" s="21" t="s">
        <v>225</v>
      </c>
      <c r="D99" s="38"/>
      <c r="E99" s="57" t="s">
        <v>96</v>
      </c>
      <c r="F99" s="51">
        <f>0</f>
        <v>0</v>
      </c>
      <c r="G99" s="51">
        <f>0</f>
        <v>0</v>
      </c>
      <c r="H99" s="51">
        <f>0</f>
        <v>0</v>
      </c>
      <c r="I99" s="51">
        <f>0</f>
        <v>0</v>
      </c>
      <c r="J99" s="51">
        <f>0</f>
        <v>0</v>
      </c>
      <c r="K99" s="24">
        <f>0</f>
        <v>0</v>
      </c>
      <c r="L99" s="24">
        <f>0</f>
        <v>0</v>
      </c>
      <c r="M99" s="25">
        <f>0</f>
        <v>0</v>
      </c>
      <c r="N99" s="26">
        <f>0</f>
        <v>0</v>
      </c>
      <c r="O99" s="27">
        <f>0</f>
        <v>0</v>
      </c>
      <c r="P99" s="27">
        <f>0</f>
        <v>0</v>
      </c>
      <c r="Q99" s="27">
        <f>0</f>
        <v>0</v>
      </c>
      <c r="R99" s="27">
        <f>0</f>
        <v>0</v>
      </c>
      <c r="S99" s="27">
        <f>0</f>
        <v>0</v>
      </c>
      <c r="T99" s="27">
        <f>0</f>
        <v>0</v>
      </c>
      <c r="U99" s="27">
        <f>0</f>
        <v>0</v>
      </c>
      <c r="V99" s="27">
        <f>0</f>
        <v>0</v>
      </c>
      <c r="W99" s="27">
        <f>0</f>
        <v>0</v>
      </c>
      <c r="X99" s="27">
        <f>0</f>
        <v>0</v>
      </c>
      <c r="Y99" s="27">
        <f>0</f>
        <v>0</v>
      </c>
      <c r="Z99" s="27">
        <f>0</f>
        <v>0</v>
      </c>
      <c r="AA99" s="27">
        <f>0</f>
        <v>0</v>
      </c>
    </row>
    <row r="100" spans="1:27" ht="23" outlineLevel="1">
      <c r="C100" s="21" t="s">
        <v>239</v>
      </c>
      <c r="D100" s="38"/>
      <c r="E100" s="87" t="s">
        <v>278</v>
      </c>
      <c r="F100" s="51">
        <f>0</f>
        <v>0</v>
      </c>
      <c r="G100" s="51">
        <f>5151141.18</f>
        <v>5151141.18</v>
      </c>
      <c r="H100" s="51">
        <f>0</f>
        <v>0</v>
      </c>
      <c r="I100" s="51">
        <f>0</f>
        <v>0</v>
      </c>
      <c r="J100" s="51">
        <f>0</f>
        <v>0</v>
      </c>
      <c r="K100" s="24">
        <f>0</f>
        <v>0</v>
      </c>
      <c r="L100" s="24">
        <f>0</f>
        <v>0</v>
      </c>
      <c r="M100" s="25">
        <f>0</f>
        <v>0</v>
      </c>
      <c r="N100" s="26">
        <f>0</f>
        <v>0</v>
      </c>
      <c r="O100" s="27">
        <f>0</f>
        <v>0</v>
      </c>
      <c r="P100" s="27">
        <f>0</f>
        <v>0</v>
      </c>
      <c r="Q100" s="27">
        <f>0</f>
        <v>0</v>
      </c>
      <c r="R100" s="27">
        <f>0</f>
        <v>0</v>
      </c>
      <c r="S100" s="27">
        <f>0</f>
        <v>0</v>
      </c>
      <c r="T100" s="27">
        <f>0</f>
        <v>0</v>
      </c>
      <c r="U100" s="27">
        <f>0</f>
        <v>0</v>
      </c>
      <c r="V100" s="27">
        <f>0</f>
        <v>0</v>
      </c>
      <c r="W100" s="27">
        <f>0</f>
        <v>0</v>
      </c>
      <c r="X100" s="27">
        <f>0</f>
        <v>0</v>
      </c>
      <c r="Y100" s="27">
        <f>0</f>
        <v>0</v>
      </c>
      <c r="Z100" s="27">
        <f>0</f>
        <v>0</v>
      </c>
      <c r="AA100" s="27">
        <f>0</f>
        <v>0</v>
      </c>
    </row>
    <row r="101" spans="1:27" ht="23" outlineLevel="1">
      <c r="C101" s="21" t="s">
        <v>240</v>
      </c>
      <c r="D101" s="38"/>
      <c r="E101" s="87" t="s">
        <v>279</v>
      </c>
      <c r="F101" s="51">
        <f>0</f>
        <v>0</v>
      </c>
      <c r="G101" s="51">
        <f>0</f>
        <v>0</v>
      </c>
      <c r="H101" s="51">
        <f>0</f>
        <v>0</v>
      </c>
      <c r="I101" s="51">
        <f>0</f>
        <v>0</v>
      </c>
      <c r="J101" s="51">
        <f>0</f>
        <v>0</v>
      </c>
      <c r="K101" s="24">
        <f>0</f>
        <v>0</v>
      </c>
      <c r="L101" s="24">
        <f>0</f>
        <v>0</v>
      </c>
      <c r="M101" s="25">
        <f>0</f>
        <v>0</v>
      </c>
      <c r="N101" s="26">
        <f>0</f>
        <v>0</v>
      </c>
      <c r="O101" s="27">
        <f>0</f>
        <v>0</v>
      </c>
      <c r="P101" s="27">
        <f>0</f>
        <v>0</v>
      </c>
      <c r="Q101" s="27">
        <f>0</f>
        <v>0</v>
      </c>
      <c r="R101" s="27">
        <f>0</f>
        <v>0</v>
      </c>
      <c r="S101" s="27">
        <f>0</f>
        <v>0</v>
      </c>
      <c r="T101" s="27">
        <f>0</f>
        <v>0</v>
      </c>
      <c r="U101" s="27">
        <f>0</f>
        <v>0</v>
      </c>
      <c r="V101" s="27">
        <f>0</f>
        <v>0</v>
      </c>
      <c r="W101" s="27">
        <f>0</f>
        <v>0</v>
      </c>
      <c r="X101" s="27">
        <f>0</f>
        <v>0</v>
      </c>
      <c r="Y101" s="27">
        <f>0</f>
        <v>0</v>
      </c>
      <c r="Z101" s="27">
        <f>0</f>
        <v>0</v>
      </c>
      <c r="AA101" s="27">
        <f>0</f>
        <v>0</v>
      </c>
    </row>
    <row r="102" spans="1:27" ht="34.5" outlineLevel="1">
      <c r="A102" s="18" t="s">
        <v>25</v>
      </c>
      <c r="B102" s="18" t="s">
        <v>25</v>
      </c>
      <c r="C102" s="21" t="s">
        <v>326</v>
      </c>
      <c r="D102" s="38"/>
      <c r="E102" s="87" t="s">
        <v>340</v>
      </c>
      <c r="F102" s="51">
        <f>0</f>
        <v>0</v>
      </c>
      <c r="G102" s="51">
        <f>0</f>
        <v>0</v>
      </c>
      <c r="H102" s="51">
        <f>0</f>
        <v>0</v>
      </c>
      <c r="I102" s="51">
        <f>0</f>
        <v>0</v>
      </c>
      <c r="J102" s="51">
        <f>0</f>
        <v>0</v>
      </c>
      <c r="K102" s="24">
        <f>0</f>
        <v>0</v>
      </c>
      <c r="L102" s="24">
        <f>0</f>
        <v>0</v>
      </c>
      <c r="M102" s="25">
        <f>0</f>
        <v>0</v>
      </c>
      <c r="N102" s="26">
        <f>0</f>
        <v>0</v>
      </c>
      <c r="O102" s="27">
        <f>0</f>
        <v>0</v>
      </c>
      <c r="P102" s="27">
        <f>0</f>
        <v>0</v>
      </c>
      <c r="Q102" s="27">
        <f>0</f>
        <v>0</v>
      </c>
      <c r="R102" s="27">
        <f>0</f>
        <v>0</v>
      </c>
      <c r="S102" s="27">
        <f>0</f>
        <v>0</v>
      </c>
      <c r="T102" s="27">
        <f>0</f>
        <v>0</v>
      </c>
      <c r="U102" s="27">
        <f>0</f>
        <v>0</v>
      </c>
      <c r="V102" s="27">
        <f>0</f>
        <v>0</v>
      </c>
      <c r="W102" s="27">
        <f>0</f>
        <v>0</v>
      </c>
      <c r="X102" s="27">
        <f>0</f>
        <v>0</v>
      </c>
      <c r="Y102" s="27">
        <f>0</f>
        <v>0</v>
      </c>
      <c r="Z102" s="27">
        <f>0</f>
        <v>0</v>
      </c>
      <c r="AA102" s="27">
        <f>0</f>
        <v>0</v>
      </c>
    </row>
    <row r="103" spans="1:27" outlineLevel="1">
      <c r="B103" s="18" t="s">
        <v>25</v>
      </c>
      <c r="C103" s="21" t="s">
        <v>327</v>
      </c>
      <c r="D103" s="38"/>
      <c r="E103" s="87" t="s">
        <v>341</v>
      </c>
      <c r="F103" s="51">
        <f>0</f>
        <v>0</v>
      </c>
      <c r="G103" s="51">
        <f>0</f>
        <v>0</v>
      </c>
      <c r="H103" s="51">
        <f>0</f>
        <v>0</v>
      </c>
      <c r="I103" s="51">
        <f>0</f>
        <v>0</v>
      </c>
      <c r="J103" s="51">
        <f>0</f>
        <v>0</v>
      </c>
      <c r="K103" s="24">
        <f>0</f>
        <v>0</v>
      </c>
      <c r="L103" s="24">
        <f>0</f>
        <v>0</v>
      </c>
      <c r="M103" s="25">
        <f>0</f>
        <v>0</v>
      </c>
      <c r="N103" s="26">
        <f>0</f>
        <v>0</v>
      </c>
      <c r="O103" s="27">
        <f>0</f>
        <v>0</v>
      </c>
      <c r="P103" s="27">
        <f>0</f>
        <v>0</v>
      </c>
      <c r="Q103" s="27">
        <f>0</f>
        <v>0</v>
      </c>
      <c r="R103" s="27">
        <f>0</f>
        <v>0</v>
      </c>
      <c r="S103" s="27">
        <f>0</f>
        <v>0</v>
      </c>
      <c r="T103" s="27">
        <f>0</f>
        <v>0</v>
      </c>
      <c r="U103" s="27">
        <f>0</f>
        <v>0</v>
      </c>
      <c r="V103" s="27">
        <f>0</f>
        <v>0</v>
      </c>
      <c r="W103" s="27">
        <f>0</f>
        <v>0</v>
      </c>
      <c r="X103" s="27">
        <f>0</f>
        <v>0</v>
      </c>
      <c r="Y103" s="27">
        <f>0</f>
        <v>0</v>
      </c>
      <c r="Z103" s="27">
        <f>0</f>
        <v>0</v>
      </c>
      <c r="AA103" s="27">
        <f>0</f>
        <v>0</v>
      </c>
    </row>
    <row r="104" spans="1:27">
      <c r="C104" s="14">
        <v>11</v>
      </c>
      <c r="D104" s="38"/>
      <c r="E104" s="59" t="s">
        <v>102</v>
      </c>
      <c r="F104" s="53" t="s">
        <v>25</v>
      </c>
      <c r="G104" s="53" t="s">
        <v>25</v>
      </c>
      <c r="H104" s="53" t="s">
        <v>25</v>
      </c>
      <c r="I104" s="53" t="s">
        <v>25</v>
      </c>
      <c r="J104" s="53" t="s">
        <v>25</v>
      </c>
      <c r="K104" s="30" t="s">
        <v>25</v>
      </c>
      <c r="L104" s="30" t="s">
        <v>25</v>
      </c>
      <c r="M104" s="31" t="s">
        <v>25</v>
      </c>
      <c r="N104" s="32" t="s">
        <v>25</v>
      </c>
      <c r="O104" s="33" t="s">
        <v>25</v>
      </c>
      <c r="P104" s="33" t="s">
        <v>25</v>
      </c>
      <c r="Q104" s="33" t="s">
        <v>25</v>
      </c>
      <c r="R104" s="33" t="s">
        <v>25</v>
      </c>
      <c r="S104" s="33" t="s">
        <v>25</v>
      </c>
      <c r="T104" s="33" t="s">
        <v>25</v>
      </c>
      <c r="U104" s="33" t="s">
        <v>25</v>
      </c>
      <c r="V104" s="33" t="s">
        <v>25</v>
      </c>
      <c r="W104" s="33" t="s">
        <v>25</v>
      </c>
      <c r="X104" s="33" t="s">
        <v>25</v>
      </c>
      <c r="Y104" s="33" t="s">
        <v>25</v>
      </c>
      <c r="Z104" s="33" t="s">
        <v>25</v>
      </c>
      <c r="AA104" s="33" t="s">
        <v>25</v>
      </c>
    </row>
    <row r="105" spans="1:27" outlineLevel="1">
      <c r="C105" s="21" t="s">
        <v>66</v>
      </c>
      <c r="D105" s="38"/>
      <c r="E105" s="87" t="s">
        <v>280</v>
      </c>
      <c r="F105" s="51">
        <f>0</f>
        <v>0</v>
      </c>
      <c r="G105" s="51">
        <f>0</f>
        <v>0</v>
      </c>
      <c r="H105" s="51">
        <f>0</f>
        <v>0</v>
      </c>
      <c r="I105" s="51">
        <f>0</f>
        <v>0</v>
      </c>
      <c r="J105" s="51">
        <f>0</f>
        <v>0</v>
      </c>
      <c r="K105" s="24">
        <f>0</f>
        <v>0</v>
      </c>
      <c r="L105" s="24">
        <f>0</f>
        <v>0</v>
      </c>
      <c r="M105" s="25">
        <f>0</f>
        <v>0</v>
      </c>
      <c r="N105" s="26">
        <f>0</f>
        <v>0</v>
      </c>
      <c r="O105" s="27">
        <f>0</f>
        <v>0</v>
      </c>
      <c r="P105" s="27">
        <f>0</f>
        <v>0</v>
      </c>
      <c r="Q105" s="27">
        <f>0</f>
        <v>0</v>
      </c>
      <c r="R105" s="27">
        <f>0</f>
        <v>0</v>
      </c>
      <c r="S105" s="27">
        <f>0</f>
        <v>0</v>
      </c>
      <c r="T105" s="27">
        <f>0</f>
        <v>0</v>
      </c>
      <c r="U105" s="27">
        <f>0</f>
        <v>0</v>
      </c>
      <c r="V105" s="27">
        <f>0</f>
        <v>0</v>
      </c>
      <c r="W105" s="27">
        <f>0</f>
        <v>0</v>
      </c>
      <c r="X105" s="27">
        <f>0</f>
        <v>0</v>
      </c>
      <c r="Y105" s="27">
        <f>0</f>
        <v>0</v>
      </c>
      <c r="Z105" s="27">
        <f>0</f>
        <v>0</v>
      </c>
      <c r="AA105" s="27">
        <f>0</f>
        <v>0</v>
      </c>
    </row>
    <row r="106" spans="1:27" outlineLevel="2">
      <c r="A106" s="18" t="s">
        <v>25</v>
      </c>
      <c r="C106" s="21" t="s">
        <v>226</v>
      </c>
      <c r="D106" s="38"/>
      <c r="E106" s="57" t="s">
        <v>106</v>
      </c>
      <c r="F106" s="51">
        <f>0</f>
        <v>0</v>
      </c>
      <c r="G106" s="51">
        <f>0</f>
        <v>0</v>
      </c>
      <c r="H106" s="51">
        <f>0</f>
        <v>0</v>
      </c>
      <c r="I106" s="51">
        <f>0</f>
        <v>0</v>
      </c>
      <c r="J106" s="51">
        <f>0</f>
        <v>0</v>
      </c>
      <c r="K106" s="24">
        <f>0</f>
        <v>0</v>
      </c>
      <c r="L106" s="24">
        <f>0</f>
        <v>0</v>
      </c>
      <c r="M106" s="25">
        <f>0</f>
        <v>0</v>
      </c>
      <c r="N106" s="26">
        <f>0</f>
        <v>0</v>
      </c>
      <c r="O106" s="27">
        <f>0</f>
        <v>0</v>
      </c>
      <c r="P106" s="27">
        <f>0</f>
        <v>0</v>
      </c>
      <c r="Q106" s="27">
        <f>0</f>
        <v>0</v>
      </c>
      <c r="R106" s="27">
        <f>0</f>
        <v>0</v>
      </c>
      <c r="S106" s="27">
        <f>0</f>
        <v>0</v>
      </c>
      <c r="T106" s="27">
        <f>0</f>
        <v>0</v>
      </c>
      <c r="U106" s="27">
        <f>0</f>
        <v>0</v>
      </c>
      <c r="V106" s="27">
        <f>0</f>
        <v>0</v>
      </c>
      <c r="W106" s="27">
        <f>0</f>
        <v>0</v>
      </c>
      <c r="X106" s="27">
        <f>0</f>
        <v>0</v>
      </c>
      <c r="Y106" s="27">
        <f>0</f>
        <v>0</v>
      </c>
      <c r="Z106" s="27">
        <f>0</f>
        <v>0</v>
      </c>
      <c r="AA106" s="27">
        <f>0</f>
        <v>0</v>
      </c>
    </row>
    <row r="107" spans="1:27" ht="23" outlineLevel="1">
      <c r="A107" s="18" t="s">
        <v>25</v>
      </c>
      <c r="C107" s="21" t="s">
        <v>67</v>
      </c>
      <c r="D107" s="38"/>
      <c r="E107" s="87" t="s">
        <v>281</v>
      </c>
      <c r="F107" s="51">
        <f>0</f>
        <v>0</v>
      </c>
      <c r="G107" s="51">
        <f>0</f>
        <v>0</v>
      </c>
      <c r="H107" s="51">
        <f>0</f>
        <v>0</v>
      </c>
      <c r="I107" s="51">
        <f>0</f>
        <v>0</v>
      </c>
      <c r="J107" s="51">
        <f>0</f>
        <v>0</v>
      </c>
      <c r="K107" s="24">
        <f>0</f>
        <v>0</v>
      </c>
      <c r="L107" s="24">
        <f>0</f>
        <v>0</v>
      </c>
      <c r="M107" s="25">
        <f>0</f>
        <v>0</v>
      </c>
      <c r="N107" s="26">
        <f>0</f>
        <v>0</v>
      </c>
      <c r="O107" s="27">
        <f>0</f>
        <v>0</v>
      </c>
      <c r="P107" s="27">
        <f>0</f>
        <v>0</v>
      </c>
      <c r="Q107" s="27">
        <f>0</f>
        <v>0</v>
      </c>
      <c r="R107" s="27">
        <f>0</f>
        <v>0</v>
      </c>
      <c r="S107" s="27">
        <f>0</f>
        <v>0</v>
      </c>
      <c r="T107" s="27">
        <f>0</f>
        <v>0</v>
      </c>
      <c r="U107" s="27">
        <f>0</f>
        <v>0</v>
      </c>
      <c r="V107" s="27">
        <f>0</f>
        <v>0</v>
      </c>
      <c r="W107" s="27">
        <f>0</f>
        <v>0</v>
      </c>
      <c r="X107" s="27">
        <f>0</f>
        <v>0</v>
      </c>
      <c r="Y107" s="27">
        <f>0</f>
        <v>0</v>
      </c>
      <c r="Z107" s="27">
        <f>0</f>
        <v>0</v>
      </c>
      <c r="AA107" s="27">
        <f>0</f>
        <v>0</v>
      </c>
    </row>
    <row r="108" spans="1:27">
      <c r="C108" s="14">
        <v>12</v>
      </c>
      <c r="D108" s="38"/>
      <c r="E108" s="59" t="s">
        <v>192</v>
      </c>
      <c r="F108" s="53" t="s">
        <v>25</v>
      </c>
      <c r="G108" s="53" t="s">
        <v>25</v>
      </c>
      <c r="H108" s="53" t="s">
        <v>25</v>
      </c>
      <c r="I108" s="53" t="s">
        <v>25</v>
      </c>
      <c r="J108" s="53" t="s">
        <v>25</v>
      </c>
      <c r="K108" s="30" t="s">
        <v>25</v>
      </c>
      <c r="L108" s="30" t="s">
        <v>25</v>
      </c>
      <c r="M108" s="31" t="s">
        <v>25</v>
      </c>
      <c r="N108" s="32" t="s">
        <v>25</v>
      </c>
      <c r="O108" s="33" t="s">
        <v>25</v>
      </c>
      <c r="P108" s="33" t="s">
        <v>25</v>
      </c>
      <c r="Q108" s="33" t="s">
        <v>25</v>
      </c>
      <c r="R108" s="33" t="s">
        <v>25</v>
      </c>
      <c r="S108" s="33" t="s">
        <v>25</v>
      </c>
      <c r="T108" s="33" t="s">
        <v>25</v>
      </c>
      <c r="U108" s="33" t="s">
        <v>25</v>
      </c>
      <c r="V108" s="33" t="s">
        <v>25</v>
      </c>
      <c r="W108" s="33" t="s">
        <v>25</v>
      </c>
      <c r="X108" s="33" t="s">
        <v>25</v>
      </c>
      <c r="Y108" s="33" t="s">
        <v>25</v>
      </c>
      <c r="Z108" s="33" t="s">
        <v>25</v>
      </c>
      <c r="AA108" s="33" t="s">
        <v>25</v>
      </c>
    </row>
    <row r="109" spans="1:27" outlineLevel="1">
      <c r="C109" s="21" t="s">
        <v>68</v>
      </c>
      <c r="D109" s="38"/>
      <c r="E109" s="87" t="s">
        <v>282</v>
      </c>
      <c r="F109" s="51">
        <f>0</f>
        <v>0</v>
      </c>
      <c r="G109" s="51">
        <f>0</f>
        <v>0</v>
      </c>
      <c r="H109" s="51">
        <f>0</f>
        <v>0</v>
      </c>
      <c r="I109" s="51">
        <f>0</f>
        <v>0</v>
      </c>
      <c r="J109" s="51">
        <f>0</f>
        <v>0</v>
      </c>
      <c r="K109" s="24">
        <f>0</f>
        <v>0</v>
      </c>
      <c r="L109" s="24">
        <f>0</f>
        <v>0</v>
      </c>
      <c r="M109" s="25">
        <f>0</f>
        <v>0</v>
      </c>
      <c r="N109" s="26">
        <f>0</f>
        <v>0</v>
      </c>
      <c r="O109" s="27">
        <f>0</f>
        <v>0</v>
      </c>
      <c r="P109" s="27">
        <f>0</f>
        <v>0</v>
      </c>
      <c r="Q109" s="27">
        <f>0</f>
        <v>0</v>
      </c>
      <c r="R109" s="27">
        <f>0</f>
        <v>0</v>
      </c>
      <c r="S109" s="27">
        <f>0</f>
        <v>0</v>
      </c>
      <c r="T109" s="27">
        <f>0</f>
        <v>0</v>
      </c>
      <c r="U109" s="27">
        <f>0</f>
        <v>0</v>
      </c>
      <c r="V109" s="27">
        <f>0</f>
        <v>0</v>
      </c>
      <c r="W109" s="27">
        <f>0</f>
        <v>0</v>
      </c>
      <c r="X109" s="27">
        <f>0</f>
        <v>0</v>
      </c>
      <c r="Y109" s="27">
        <f>0</f>
        <v>0</v>
      </c>
      <c r="Z109" s="27">
        <f>0</f>
        <v>0</v>
      </c>
      <c r="AA109" s="27">
        <f>0</f>
        <v>0</v>
      </c>
    </row>
    <row r="110" spans="1:27" outlineLevel="1">
      <c r="A110" s="18" t="s">
        <v>25</v>
      </c>
      <c r="C110" s="21" t="s">
        <v>69</v>
      </c>
      <c r="D110" s="38"/>
      <c r="E110" s="87" t="s">
        <v>283</v>
      </c>
      <c r="F110" s="53" t="s">
        <v>25</v>
      </c>
      <c r="G110" s="53" t="s">
        <v>25</v>
      </c>
      <c r="H110" s="53" t="s">
        <v>25</v>
      </c>
      <c r="I110" s="53" t="s">
        <v>25</v>
      </c>
      <c r="J110" s="53" t="s">
        <v>25</v>
      </c>
      <c r="K110" s="30" t="s">
        <v>25</v>
      </c>
      <c r="L110" s="30" t="s">
        <v>25</v>
      </c>
      <c r="M110" s="31" t="s">
        <v>25</v>
      </c>
      <c r="N110" s="71">
        <f>0</f>
        <v>0</v>
      </c>
      <c r="O110" s="72">
        <f>0</f>
        <v>0</v>
      </c>
      <c r="P110" s="72">
        <f>0</f>
        <v>0</v>
      </c>
      <c r="Q110" s="72">
        <f>0</f>
        <v>0</v>
      </c>
      <c r="R110" s="72">
        <f>0</f>
        <v>0</v>
      </c>
      <c r="S110" s="72">
        <f>0</f>
        <v>0</v>
      </c>
      <c r="T110" s="72">
        <f>0</f>
        <v>0</v>
      </c>
      <c r="U110" s="72">
        <f>0</f>
        <v>0</v>
      </c>
      <c r="V110" s="72">
        <f>0</f>
        <v>0</v>
      </c>
      <c r="W110" s="72">
        <f>0</f>
        <v>0</v>
      </c>
      <c r="X110" s="72">
        <f>0</f>
        <v>0</v>
      </c>
      <c r="Y110" s="72">
        <f>0</f>
        <v>0</v>
      </c>
      <c r="Z110" s="72">
        <f>0</f>
        <v>0</v>
      </c>
      <c r="AA110" s="72">
        <f>0</f>
        <v>0</v>
      </c>
    </row>
    <row r="111" spans="1:27" outlineLevel="1">
      <c r="A111" s="18" t="s">
        <v>25</v>
      </c>
      <c r="C111" s="20" t="s">
        <v>70</v>
      </c>
      <c r="D111" s="39"/>
      <c r="E111" s="91" t="s">
        <v>284</v>
      </c>
      <c r="F111" s="64" t="s">
        <v>25</v>
      </c>
      <c r="G111" s="64" t="s">
        <v>25</v>
      </c>
      <c r="H111" s="64" t="s">
        <v>25</v>
      </c>
      <c r="I111" s="64" t="s">
        <v>25</v>
      </c>
      <c r="J111" s="64" t="s">
        <v>25</v>
      </c>
      <c r="K111" s="65" t="s">
        <v>25</v>
      </c>
      <c r="L111" s="65" t="s">
        <v>25</v>
      </c>
      <c r="M111" s="66" t="s">
        <v>25</v>
      </c>
      <c r="N111" s="73">
        <f>0</f>
        <v>0</v>
      </c>
      <c r="O111" s="74">
        <f>0</f>
        <v>0</v>
      </c>
      <c r="P111" s="74">
        <f>0</f>
        <v>0</v>
      </c>
      <c r="Q111" s="74">
        <f>0</f>
        <v>0</v>
      </c>
      <c r="R111" s="74">
        <f>0</f>
        <v>0</v>
      </c>
      <c r="S111" s="74">
        <f>0</f>
        <v>0</v>
      </c>
      <c r="T111" s="74">
        <f>0</f>
        <v>0</v>
      </c>
      <c r="U111" s="74">
        <f>0</f>
        <v>0</v>
      </c>
      <c r="V111" s="74">
        <f>0</f>
        <v>0</v>
      </c>
      <c r="W111" s="74">
        <f>0</f>
        <v>0</v>
      </c>
      <c r="X111" s="74">
        <f>0</f>
        <v>0</v>
      </c>
      <c r="Y111" s="74">
        <f>0</f>
        <v>0</v>
      </c>
      <c r="Z111" s="74">
        <f>0</f>
        <v>0</v>
      </c>
      <c r="AA111" s="74">
        <f>0</f>
        <v>0</v>
      </c>
    </row>
    <row r="112" spans="1:27"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</row>
  </sheetData>
  <sheetProtection formatCells="0" formatColumns="0" formatRows="0" insertColumns="0" deleteColumns="0"/>
  <autoFilter ref="A2:B2" xr:uid="{00000000-0009-0000-0000-000005000000}"/>
  <customSheetViews>
    <customSheetView guid="{9360F695-77C0-4418-82C5-829A762C44E9}" scale="90" showAutoFilter="1" hiddenColumns="1">
      <pane xSplit="4" ySplit="9" topLeftCell="E10" activePane="bottomRight" state="frozen"/>
      <selection pane="bottomRight" activeCell="E10" sqref="E10"/>
      <rowBreaks count="2" manualBreakCount="2">
        <brk id="48" min="1" max="39" man="1"/>
        <brk id="75" min="1" max="39" man="1"/>
      </rowBreaks>
      <pageMargins left="0.51181102362204722" right="0.51181102362204722" top="0.47244094488188981" bottom="0.47244094488188981" header="0.31496062992125984" footer="0.31496062992125984"/>
      <pageSetup paperSize="9" scale="65" orientation="landscape" blackAndWhite="1" horizontalDpi="4294967293" verticalDpi="4294967293" r:id="rId1"/>
      <headerFooter>
        <oddFooter>&amp;L&amp;"Czcionka tekstu podstawowego,Kursywa"&amp;8Wersja szablonu wydruku: 2013-04-08a&amp;C&amp;8Strona &amp;P z &amp;N&amp;R&amp;8Wydruk z dn.: &amp;D - &amp;T</oddFooter>
      </headerFooter>
      <autoFilter ref="B1" xr:uid="{D756DB8E-133E-432B-BE7F-C9716D08E500}"/>
    </customSheetView>
  </customSheetViews>
  <mergeCells count="1">
    <mergeCell ref="C1:AA1"/>
  </mergeCells>
  <conditionalFormatting sqref="N56:AA57">
    <cfRule type="expression" dxfId="1" priority="89" stopIfTrue="1">
      <formula>LEFT(N56,3)="Nie"</formula>
    </cfRule>
  </conditionalFormatting>
  <conditionalFormatting sqref="N65:AA71">
    <cfRule type="cellIs" dxfId="0" priority="47" stopIfTrue="1" operator="equal">
      <formula>"Nie spełniona"</formula>
    </cfRule>
  </conditionalFormatting>
  <printOptions horizontalCentered="1"/>
  <pageMargins left="0.39370078740157483" right="0.39370078740157483" top="0.59055118110236227" bottom="0.39370078740157483" header="0.11811023622047245" footer="0.11811023622047245"/>
  <pageSetup paperSize="8" scale="66" fitToHeight="2" orientation="landscape" blackAndWhite="1" r:id="rId2"/>
  <headerFooter>
    <oddHeader>&amp;R&amp;10Załącznik nr 1
do Uchwały Nr XXIX/220/2025
Rady Gminy Szczecinek 
z dnia 29.12.2025 r.</oddHeader>
  </headerFooter>
  <rowBreaks count="2" manualBreakCount="2">
    <brk id="49" min="9" max="52" man="1"/>
    <brk id="71" min="9" max="52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D6"/>
  <sheetViews>
    <sheetView workbookViewId="0">
      <selection activeCell="D4" sqref="D4"/>
    </sheetView>
  </sheetViews>
  <sheetFormatPr defaultRowHeight="14"/>
  <cols>
    <col min="2" max="2" width="38.5" bestFit="1" customWidth="1"/>
    <col min="3" max="3" width="6.5" bestFit="1" customWidth="1"/>
    <col min="4" max="4" width="36.33203125" bestFit="1" customWidth="1"/>
  </cols>
  <sheetData>
    <row r="1" spans="1:4">
      <c r="B1" t="s">
        <v>420</v>
      </c>
      <c r="C1" t="s">
        <v>9</v>
      </c>
      <c r="D1" t="s">
        <v>421</v>
      </c>
    </row>
    <row r="2" spans="1:4">
      <c r="A2">
        <v>1</v>
      </c>
      <c r="B2" t="s">
        <v>316</v>
      </c>
      <c r="C2" t="s">
        <v>419</v>
      </c>
      <c r="D2" t="s">
        <v>317</v>
      </c>
    </row>
    <row r="3" spans="1:4">
      <c r="A3">
        <v>2</v>
      </c>
      <c r="B3" t="s">
        <v>315</v>
      </c>
      <c r="C3" t="s">
        <v>418</v>
      </c>
      <c r="D3" t="s">
        <v>393</v>
      </c>
    </row>
    <row r="4" spans="1:4">
      <c r="A4">
        <v>3</v>
      </c>
      <c r="B4" t="s">
        <v>319</v>
      </c>
      <c r="C4" t="s">
        <v>417</v>
      </c>
      <c r="D4" t="s">
        <v>346</v>
      </c>
    </row>
    <row r="5" spans="1:4">
      <c r="A5">
        <v>4</v>
      </c>
      <c r="B5" t="s">
        <v>392</v>
      </c>
      <c r="C5" t="s">
        <v>416</v>
      </c>
      <c r="D5" t="s">
        <v>362</v>
      </c>
    </row>
    <row r="6" spans="1:4">
      <c r="A6">
        <v>5</v>
      </c>
      <c r="B6" t="s">
        <v>394</v>
      </c>
      <c r="C6" t="s">
        <v>415</v>
      </c>
      <c r="D6" t="s">
        <v>395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1"/>
  <dimension ref="A1:C19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0" sqref="C20"/>
    </sheetView>
  </sheetViews>
  <sheetFormatPr defaultColWidth="8.75" defaultRowHeight="14"/>
  <cols>
    <col min="1" max="1" width="11.25" style="78" customWidth="1"/>
    <col min="2" max="2" width="12.25" style="78" customWidth="1"/>
    <col min="3" max="3" width="95.33203125" style="77" customWidth="1"/>
  </cols>
  <sheetData>
    <row r="1" spans="1:3">
      <c r="A1" s="79" t="s">
        <v>302</v>
      </c>
      <c r="B1" s="79" t="s">
        <v>303</v>
      </c>
      <c r="C1" s="81" t="s">
        <v>304</v>
      </c>
    </row>
    <row r="2" spans="1:3">
      <c r="A2" s="80">
        <v>43809</v>
      </c>
      <c r="B2" s="78" t="s">
        <v>305</v>
      </c>
      <c r="C2" s="77" t="s">
        <v>306</v>
      </c>
    </row>
    <row r="3" spans="1:3">
      <c r="A3" s="80">
        <v>43829</v>
      </c>
      <c r="B3" s="78" t="s">
        <v>310</v>
      </c>
      <c r="C3" s="77" t="s">
        <v>311</v>
      </c>
    </row>
    <row r="4" spans="1:3">
      <c r="A4" s="80">
        <v>43879</v>
      </c>
      <c r="B4" s="80" t="s">
        <v>312</v>
      </c>
      <c r="C4" s="77" t="s">
        <v>306</v>
      </c>
    </row>
    <row r="5" spans="1:3">
      <c r="A5" s="80">
        <v>43971</v>
      </c>
      <c r="B5" s="80" t="s">
        <v>313</v>
      </c>
      <c r="C5" s="77" t="s">
        <v>318</v>
      </c>
    </row>
    <row r="6" spans="1:3" ht="28">
      <c r="A6" s="80">
        <v>43971</v>
      </c>
      <c r="B6" s="80" t="s">
        <v>313</v>
      </c>
      <c r="C6" s="77" t="s">
        <v>314</v>
      </c>
    </row>
    <row r="7" spans="1:3" ht="28">
      <c r="A7" s="80">
        <v>44057</v>
      </c>
      <c r="B7" s="78" t="s">
        <v>345</v>
      </c>
      <c r="C7" s="77" t="s">
        <v>348</v>
      </c>
    </row>
    <row r="8" spans="1:3">
      <c r="A8" s="80">
        <v>44057</v>
      </c>
      <c r="B8" s="78" t="s">
        <v>345</v>
      </c>
      <c r="C8" s="77" t="s">
        <v>347</v>
      </c>
    </row>
    <row r="9" spans="1:3">
      <c r="A9" s="80">
        <v>44075</v>
      </c>
      <c r="B9" s="78" t="s">
        <v>349</v>
      </c>
      <c r="C9" s="77" t="s">
        <v>350</v>
      </c>
    </row>
    <row r="10" spans="1:3">
      <c r="A10" s="80">
        <v>44075</v>
      </c>
      <c r="B10" s="78" t="s">
        <v>354</v>
      </c>
      <c r="C10" s="77" t="s">
        <v>355</v>
      </c>
    </row>
    <row r="11" spans="1:3" ht="28">
      <c r="A11" s="80">
        <v>44125</v>
      </c>
      <c r="B11" s="78" t="s">
        <v>353</v>
      </c>
      <c r="C11" s="77" t="s">
        <v>356</v>
      </c>
    </row>
    <row r="12" spans="1:3">
      <c r="A12" s="80">
        <v>44438</v>
      </c>
      <c r="B12" s="80" t="s">
        <v>358</v>
      </c>
      <c r="C12" s="77" t="s">
        <v>357</v>
      </c>
    </row>
    <row r="13" spans="1:3" ht="28">
      <c r="A13" s="80">
        <v>44438</v>
      </c>
      <c r="B13" s="80" t="s">
        <v>358</v>
      </c>
      <c r="C13" s="77" t="s">
        <v>359</v>
      </c>
    </row>
    <row r="14" spans="1:3">
      <c r="A14" s="80">
        <v>44438</v>
      </c>
      <c r="B14" s="80" t="s">
        <v>358</v>
      </c>
      <c r="C14" s="77" t="s">
        <v>360</v>
      </c>
    </row>
    <row r="15" spans="1:3">
      <c r="A15" s="80">
        <v>44514</v>
      </c>
      <c r="B15" s="78" t="s">
        <v>370</v>
      </c>
      <c r="C15" s="77" t="s">
        <v>369</v>
      </c>
    </row>
    <row r="16" spans="1:3">
      <c r="A16" s="80">
        <v>44522</v>
      </c>
      <c r="B16" s="78" t="s">
        <v>371</v>
      </c>
      <c r="C16" s="77" t="s">
        <v>372</v>
      </c>
    </row>
    <row r="17" spans="1:3">
      <c r="A17" s="80">
        <v>44537</v>
      </c>
      <c r="B17" s="78" t="s">
        <v>384</v>
      </c>
      <c r="C17" s="77" t="s">
        <v>385</v>
      </c>
    </row>
    <row r="18" spans="1:3">
      <c r="A18" s="80">
        <v>44845</v>
      </c>
      <c r="B18" s="78" t="s">
        <v>390</v>
      </c>
      <c r="C18" s="77" t="s">
        <v>396</v>
      </c>
    </row>
    <row r="19" spans="1:3">
      <c r="A19" s="80">
        <v>45637</v>
      </c>
      <c r="B19" s="78" t="s">
        <v>425</v>
      </c>
      <c r="C19" s="77" t="s">
        <v>433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7</vt:i4>
      </vt:variant>
    </vt:vector>
  </HeadingPairs>
  <TitlesOfParts>
    <vt:vector size="15" baseType="lpstr">
      <vt:lpstr>definicja</vt:lpstr>
      <vt:lpstr>DaneZrodlowe</vt:lpstr>
      <vt:lpstr>DaneZrodloweDoWsk</vt:lpstr>
      <vt:lpstr>ObliczSrednie</vt:lpstr>
      <vt:lpstr>Instrukcja</vt:lpstr>
      <vt:lpstr>WPF_bazowy</vt:lpstr>
      <vt:lpstr>wzorce</vt:lpstr>
      <vt:lpstr>Opis zmian</vt:lpstr>
      <vt:lpstr>IdRozp</vt:lpstr>
      <vt:lpstr>Instrukcja!Obszar_wydruku</vt:lpstr>
      <vt:lpstr>WPF_bazowy!Obszar_wydruku</vt:lpstr>
      <vt:lpstr>RokBazowy</vt:lpstr>
      <vt:lpstr>RokMaxProg</vt:lpstr>
      <vt:lpstr>Srednia</vt:lpstr>
      <vt:lpstr>WPF_bazowy!Tytuły_wydruku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</dc:creator>
  <cp:lastModifiedBy>eKancelaria</cp:lastModifiedBy>
  <cp:lastPrinted>2025-12-30T06:09:39Z</cp:lastPrinted>
  <dcterms:created xsi:type="dcterms:W3CDTF">2019-12-10T09:27:29Z</dcterms:created>
  <dcterms:modified xsi:type="dcterms:W3CDTF">2026-01-15T07:49:30Z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UxC4dwLulzfINJ8nQH+xvX5LNGipWa4BRSZhPgxsCvlhHXY4sLi5SDF8EOE2gMLmnlDibDRSvkwyB74w+ZL+hQ==</vt:lpwstr>
  </property>
  <property fmtid="{D5CDD505-2E9C-101B-9397-08002B2CF9AE}" pid="4" name="MFClassificationDate">
    <vt:lpwstr>2022-10-25T23:17:59.5281494+02:00</vt:lpwstr>
  </property>
  <property fmtid="{D5CDD505-2E9C-101B-9397-08002B2CF9AE}" pid="5" name="MFClassifiedBySID">
    <vt:lpwstr>UxC4dwLulzfINJ8nQH+xvX5LNGipWa4BRSZhPgxsCvm42mrIC/DSDv0ggS+FjUN/2v1BBotkLlY5aAiEhoi6uanvKtgfCfCHDmpGpiCqtLPOQ8xNDWI9qyGUycJj3cTN</vt:lpwstr>
  </property>
  <property fmtid="{D5CDD505-2E9C-101B-9397-08002B2CF9AE}" pid="6" name="MFGRNItemId">
    <vt:lpwstr>GRN-72cda6c7-1374-49ce-aee0-c13cc5161644</vt:lpwstr>
  </property>
  <property fmtid="{D5CDD505-2E9C-101B-9397-08002B2CF9AE}" pid="7" name="MFHash">
    <vt:lpwstr>PEfhye7LR13+StzQYFCY6j6+gO5ADxfAWzwogFaaaJ0=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